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協会\設計監理協会\2017RC診断基準\180412公開\"/>
    </mc:Choice>
  </mc:AlternateContent>
  <xr:revisionPtr revIDLastSave="0" documentId="13_ncr:1_{2EFB7067-7487-411A-98BE-7B9AB8358DA6}" xr6:coauthVersionLast="40" xr6:coauthVersionMax="40" xr10:uidLastSave="{00000000-0000-0000-0000-000000000000}"/>
  <bookViews>
    <workbookView xWindow="0" yWindow="0" windowWidth="20050" windowHeight="17330" activeTab="1" xr2:uid="{00000000-000D-0000-FFFF-FFFF00000000}"/>
  </bookViews>
  <sheets>
    <sheet name="様式6-1" sheetId="1" r:id="rId1"/>
    <sheet name="入力参考例" sheetId="3" r:id="rId2"/>
    <sheet name="δ" sheetId="2" r:id="rId3"/>
  </sheets>
  <definedNames>
    <definedName name="_xlnm.Print_Area" localSheetId="0">'様式6-1'!$A$1:$P$51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3" l="1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3" i="3"/>
  <c r="M12" i="3"/>
  <c r="M11" i="3"/>
  <c r="M10" i="3"/>
  <c r="M9" i="3"/>
  <c r="M8" i="3"/>
  <c r="M13" i="1"/>
  <c r="M12" i="1"/>
  <c r="M11" i="1"/>
  <c r="M10" i="1"/>
  <c r="M9" i="1"/>
  <c r="M8" i="1"/>
  <c r="M19" i="1"/>
  <c r="M18" i="1"/>
  <c r="M17" i="1"/>
  <c r="M16" i="1"/>
  <c r="M15" i="1"/>
  <c r="M14" i="1"/>
  <c r="M25" i="1"/>
  <c r="M24" i="1"/>
  <c r="M23" i="1"/>
  <c r="M22" i="1"/>
  <c r="M21" i="1"/>
  <c r="M20" i="1"/>
  <c r="M31" i="1"/>
  <c r="M30" i="1"/>
  <c r="M29" i="1"/>
  <c r="M37" i="1"/>
  <c r="M36" i="1"/>
  <c r="M35" i="1"/>
  <c r="M43" i="1"/>
  <c r="M42" i="1"/>
  <c r="F46" i="3" l="1"/>
  <c r="Q39" i="3"/>
  <c r="Q38" i="3"/>
  <c r="L38" i="3"/>
  <c r="K38" i="3"/>
  <c r="B38" i="3"/>
  <c r="Q33" i="3"/>
  <c r="Q32" i="3"/>
  <c r="L32" i="3"/>
  <c r="K32" i="3"/>
  <c r="B32" i="3"/>
  <c r="Q27" i="3"/>
  <c r="Q26" i="3"/>
  <c r="L26" i="3"/>
  <c r="L29" i="3" s="1"/>
  <c r="K26" i="3"/>
  <c r="B26" i="3"/>
  <c r="Q21" i="3"/>
  <c r="Q20" i="3"/>
  <c r="L20" i="3"/>
  <c r="K20" i="3"/>
  <c r="Q24" i="3" s="1"/>
  <c r="B20" i="3"/>
  <c r="Q15" i="3"/>
  <c r="Q14" i="3"/>
  <c r="L14" i="3"/>
  <c r="K14" i="3"/>
  <c r="B14" i="3"/>
  <c r="Q9" i="3"/>
  <c r="Q8" i="3"/>
  <c r="L8" i="3"/>
  <c r="K8" i="3"/>
  <c r="B8" i="3"/>
  <c r="M2" i="3"/>
  <c r="M1" i="3"/>
  <c r="O14" i="3" l="1"/>
  <c r="Q18" i="3"/>
  <c r="K13" i="3"/>
  <c r="Q10" i="3" s="1"/>
  <c r="L44" i="3"/>
  <c r="L11" i="3"/>
  <c r="Q42" i="3"/>
  <c r="O20" i="3"/>
  <c r="Q12" i="3"/>
  <c r="L17" i="3"/>
  <c r="M14" i="3" s="1"/>
  <c r="K25" i="3"/>
  <c r="Q22" i="3" s="1"/>
  <c r="N26" i="3"/>
  <c r="P26" i="3" s="1"/>
  <c r="Q36" i="3"/>
  <c r="L41" i="3"/>
  <c r="L35" i="3"/>
  <c r="O26" i="3"/>
  <c r="L23" i="3"/>
  <c r="N32" i="3"/>
  <c r="N20" i="3"/>
  <c r="N8" i="3"/>
  <c r="O8" i="3"/>
  <c r="O32" i="3"/>
  <c r="Q30" i="3"/>
  <c r="P8" i="3"/>
  <c r="N14" i="3"/>
  <c r="P14" i="3" s="1"/>
  <c r="N38" i="3"/>
  <c r="O38" i="3"/>
  <c r="Q9" i="1"/>
  <c r="Q8" i="1"/>
  <c r="Q15" i="1"/>
  <c r="Q14" i="1"/>
  <c r="Q21" i="1"/>
  <c r="Q20" i="1"/>
  <c r="Q27" i="1"/>
  <c r="Q26" i="1"/>
  <c r="Q33" i="1"/>
  <c r="Q32" i="1"/>
  <c r="K8" i="1"/>
  <c r="O8" i="1" s="1"/>
  <c r="K14" i="1"/>
  <c r="Q18" i="1" s="1"/>
  <c r="K20" i="1"/>
  <c r="Q24" i="1" s="1"/>
  <c r="K26" i="1"/>
  <c r="K32" i="1"/>
  <c r="Q39" i="1"/>
  <c r="Q38" i="1"/>
  <c r="Q30" i="1" l="1"/>
  <c r="M16" i="3"/>
  <c r="M15" i="3"/>
  <c r="Q36" i="1"/>
  <c r="K19" i="3"/>
  <c r="Q16" i="3" s="1"/>
  <c r="K37" i="3"/>
  <c r="Q34" i="3" s="1"/>
  <c r="Q12" i="1"/>
  <c r="P38" i="3"/>
  <c r="K43" i="3"/>
  <c r="Q40" i="3" s="1"/>
  <c r="Q43" i="3"/>
  <c r="Q41" i="3"/>
  <c r="Q29" i="3"/>
  <c r="Q31" i="3"/>
  <c r="Q19" i="3"/>
  <c r="Q17" i="3"/>
  <c r="Q13" i="3"/>
  <c r="Q11" i="3"/>
  <c r="K31" i="3"/>
  <c r="Q28" i="3" s="1"/>
  <c r="P20" i="3"/>
  <c r="P44" i="3" s="1"/>
  <c r="P32" i="3"/>
  <c r="N8" i="1"/>
  <c r="P8" i="1"/>
  <c r="Q11" i="1" l="1"/>
  <c r="Q35" i="3"/>
  <c r="Q37" i="3"/>
  <c r="Q25" i="3"/>
  <c r="Q23" i="3"/>
  <c r="K44" i="3"/>
  <c r="K13" i="1"/>
  <c r="Q10" i="1" s="1"/>
  <c r="F46" i="1"/>
  <c r="I4" i="2"/>
  <c r="G5" i="2" l="1"/>
  <c r="L45" i="3"/>
  <c r="M46" i="3" s="1"/>
  <c r="M1" i="1"/>
  <c r="M2" i="1"/>
  <c r="Q13" i="1"/>
  <c r="N44" i="3"/>
  <c r="L45" i="1"/>
  <c r="B8" i="1"/>
  <c r="B14" i="1"/>
  <c r="B20" i="1"/>
  <c r="B26" i="1"/>
  <c r="B32" i="1"/>
  <c r="B38" i="1"/>
  <c r="K38" i="1"/>
  <c r="L14" i="1"/>
  <c r="L8" i="1"/>
  <c r="Q42" i="1" l="1"/>
  <c r="L38" i="1"/>
  <c r="L41" i="1" s="1"/>
  <c r="M41" i="1" s="1"/>
  <c r="L17" i="1"/>
  <c r="O14" i="1"/>
  <c r="N14" i="1"/>
  <c r="P14" i="1" s="1"/>
  <c r="L20" i="1"/>
  <c r="L26" i="1"/>
  <c r="L29" i="1" s="1"/>
  <c r="L32" i="1"/>
  <c r="L11" i="1"/>
  <c r="M27" i="1" l="1"/>
  <c r="M26" i="1"/>
  <c r="M28" i="1"/>
  <c r="M38" i="1"/>
  <c r="M40" i="1"/>
  <c r="M39" i="1"/>
  <c r="O38" i="1"/>
  <c r="N38" i="1"/>
  <c r="Q19" i="1"/>
  <c r="Q17" i="1"/>
  <c r="K19" i="1"/>
  <c r="Q16" i="1" s="1"/>
  <c r="L23" i="1"/>
  <c r="N20" i="1"/>
  <c r="P20" i="1" s="1"/>
  <c r="O20" i="1"/>
  <c r="L35" i="1"/>
  <c r="M34" i="1" s="1"/>
  <c r="O32" i="1"/>
  <c r="N32" i="1"/>
  <c r="N26" i="1"/>
  <c r="O26" i="1"/>
  <c r="K25" i="1"/>
  <c r="Q22" i="1" s="1"/>
  <c r="L44" i="1"/>
  <c r="P32" i="1" l="1"/>
  <c r="M32" i="1"/>
  <c r="M33" i="1"/>
  <c r="K43" i="1"/>
  <c r="Q40" i="1" s="1"/>
  <c r="P38" i="1"/>
  <c r="Q43" i="1" s="1"/>
  <c r="Q35" i="1"/>
  <c r="Q37" i="1"/>
  <c r="Q25" i="1"/>
  <c r="Q23" i="1"/>
  <c r="K31" i="1"/>
  <c r="Q28" i="1" s="1"/>
  <c r="K37" i="1"/>
  <c r="Q34" i="1" s="1"/>
  <c r="P26" i="1"/>
  <c r="Q41" i="1" l="1"/>
  <c r="Q31" i="1"/>
  <c r="Q29" i="1"/>
  <c r="P44" i="1"/>
  <c r="K44" i="1"/>
  <c r="M46" i="1" s="1"/>
  <c r="N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山崎栄市</author>
  </authors>
  <commentList>
    <comment ref="M46" authorId="0" shapeId="0" xr:uid="{B13BD6B5-0100-41F5-A721-04432E8EA8C4}">
      <text>
        <r>
          <rPr>
            <b/>
            <sz val="9"/>
            <color indexed="81"/>
            <rFont val="MS P ゴシック"/>
            <family val="3"/>
            <charset val="128"/>
          </rPr>
          <t>設計監理協会:</t>
        </r>
        <r>
          <rPr>
            <sz val="9"/>
            <color indexed="81"/>
            <rFont val="MS P ゴシック"/>
            <family val="3"/>
            <charset val="128"/>
          </rPr>
          <t xml:space="preserve">
コア本数が２本以下の場合の標準偏差であるが、採用する場合には十分な検討が必要である。</t>
        </r>
      </text>
    </comment>
  </commentList>
</comments>
</file>

<file path=xl/sharedStrings.xml><?xml version="1.0" encoding="utf-8"?>
<sst xmlns="http://schemas.openxmlformats.org/spreadsheetml/2006/main" count="294" uniqueCount="187">
  <si>
    <t>（様式6-1）</t>
    <rPh sb="1" eb="3">
      <t>ヨウシキ</t>
    </rPh>
    <phoneticPr fontId="5"/>
  </si>
  <si>
    <t>階</t>
    <rPh sb="0" eb="1">
      <t>カイ</t>
    </rPh>
    <phoneticPr fontId="5"/>
  </si>
  <si>
    <t>部位</t>
    <rPh sb="0" eb="2">
      <t>ブイ</t>
    </rPh>
    <phoneticPr fontId="5"/>
  </si>
  <si>
    <t>見掛け
密度</t>
    <rPh sb="0" eb="2">
      <t>ミカ</t>
    </rPh>
    <rPh sb="4" eb="6">
      <t>ミツド</t>
    </rPh>
    <phoneticPr fontId="5"/>
  </si>
  <si>
    <r>
      <t>コア圧縮
強度  X</t>
    </r>
    <r>
      <rPr>
        <vertAlign val="subscript"/>
        <sz val="9"/>
        <rFont val="ＭＳ Ｐ明朝"/>
        <family val="1"/>
        <charset val="128"/>
      </rPr>
      <t>i</t>
    </r>
    <rPh sb="2" eb="4">
      <t>アッシュク</t>
    </rPh>
    <phoneticPr fontId="5"/>
  </si>
  <si>
    <t>中性化深さ
（平均）
mm</t>
    <rPh sb="0" eb="3">
      <t>チュウセイカ</t>
    </rPh>
    <rPh sb="3" eb="4">
      <t>フカ</t>
    </rPh>
    <phoneticPr fontId="5"/>
  </si>
  <si>
    <t>ヤング
係数 Ｅ
(実測値)</t>
    <rPh sb="10" eb="12">
      <t>ジッソク</t>
    </rPh>
    <rPh sb="12" eb="13">
      <t>チ</t>
    </rPh>
    <phoneticPr fontId="5"/>
  </si>
  <si>
    <r>
      <t>圧縮強度
平均値
 X</t>
    </r>
    <r>
      <rPr>
        <vertAlign val="subscript"/>
        <sz val="9"/>
        <rFont val="ＭＳ Ｐ明朝"/>
        <family val="1"/>
        <charset val="128"/>
      </rPr>
      <t>mean</t>
    </r>
    <rPh sb="0" eb="2">
      <t>アッシュク</t>
    </rPh>
    <rPh sb="2" eb="4">
      <t>キョウド</t>
    </rPh>
    <phoneticPr fontId="5"/>
  </si>
  <si>
    <t>標準偏差
σ</t>
    <rPh sb="0" eb="2">
      <t>ヒョウジュン</t>
    </rPh>
    <rPh sb="2" eb="4">
      <t>ヘンサ</t>
    </rPh>
    <phoneticPr fontId="5"/>
  </si>
  <si>
    <r>
      <t>圧縮強度
N/mm</t>
    </r>
    <r>
      <rPr>
        <vertAlign val="superscript"/>
        <sz val="9"/>
        <rFont val="ＭＳ Ｐ明朝"/>
        <family val="1"/>
        <charset val="128"/>
      </rPr>
      <t>2</t>
    </r>
    <phoneticPr fontId="5"/>
  </si>
  <si>
    <r>
      <t>圧縮強度
採用値
σ</t>
    </r>
    <r>
      <rPr>
        <vertAlign val="subscript"/>
        <sz val="9"/>
        <rFont val="ＭＳ Ｐ明朝"/>
        <family val="1"/>
        <charset val="128"/>
      </rPr>
      <t>BD</t>
    </r>
    <phoneticPr fontId="5"/>
  </si>
  <si>
    <r>
      <t>t/m</t>
    </r>
    <r>
      <rPr>
        <vertAlign val="superscript"/>
        <sz val="9"/>
        <rFont val="ＭＳ Ｐ明朝"/>
        <family val="1"/>
        <charset val="128"/>
      </rPr>
      <t>3</t>
    </r>
    <phoneticPr fontId="5"/>
  </si>
  <si>
    <r>
      <t>N/mm</t>
    </r>
    <r>
      <rPr>
        <vertAlign val="superscript"/>
        <sz val="9"/>
        <rFont val="ＭＳ Ｐ明朝"/>
        <family val="1"/>
        <charset val="128"/>
      </rPr>
      <t>2</t>
    </r>
    <phoneticPr fontId="5"/>
  </si>
  <si>
    <t>筒元</t>
    <rPh sb="0" eb="1">
      <t>ツツ</t>
    </rPh>
    <rPh sb="1" eb="2">
      <t>モト</t>
    </rPh>
    <phoneticPr fontId="5"/>
  </si>
  <si>
    <t>筒先</t>
    <rPh sb="0" eb="1">
      <t>ツツ</t>
    </rPh>
    <rPh sb="1" eb="2">
      <t>サキ</t>
    </rPh>
    <phoneticPr fontId="5"/>
  </si>
  <si>
    <t>柱</t>
    <rPh sb="0" eb="1">
      <t>ハシラ</t>
    </rPh>
    <phoneticPr fontId="5"/>
  </si>
  <si>
    <t>建物全体の値</t>
    <rPh sb="0" eb="2">
      <t>タテモノ</t>
    </rPh>
    <rPh sb="2" eb="4">
      <t>ゼンタイ</t>
    </rPh>
    <rPh sb="5" eb="6">
      <t>アタイ</t>
    </rPh>
    <phoneticPr fontId="5"/>
  </si>
  <si>
    <t>供試体基本寸法　φ× h =</t>
    <rPh sb="0" eb="1">
      <t>キョウ</t>
    </rPh>
    <rPh sb="1" eb="2">
      <t>シ</t>
    </rPh>
    <rPh sb="2" eb="3">
      <t>タイ</t>
    </rPh>
    <rPh sb="3" eb="5">
      <t>キホン</t>
    </rPh>
    <rPh sb="5" eb="7">
      <t>スンポウ</t>
    </rPh>
    <phoneticPr fontId="5"/>
  </si>
  <si>
    <t>×</t>
    <phoneticPr fontId="5"/>
  </si>
  <si>
    <t>mm</t>
    <phoneticPr fontId="5"/>
  </si>
  <si>
    <t>δ=</t>
    <phoneticPr fontId="5"/>
  </si>
  <si>
    <t>(一般的な変動係数別表9.6)</t>
    <phoneticPr fontId="5"/>
  </si>
  <si>
    <r>
      <t>設計基準強度 F</t>
    </r>
    <r>
      <rPr>
        <vertAlign val="subscript"/>
        <sz val="9"/>
        <rFont val="ＭＳ Ｐ明朝"/>
        <family val="1"/>
        <charset val="128"/>
      </rPr>
      <t>c</t>
    </r>
    <r>
      <rPr>
        <sz val="9"/>
        <rFont val="ＭＳ Ｐ明朝"/>
        <family val="1"/>
        <charset val="128"/>
      </rPr>
      <t xml:space="preserve"> =</t>
    </r>
    <rPh sb="0" eb="2">
      <t>セッケイ</t>
    </rPh>
    <rPh sb="2" eb="4">
      <t>キジュン</t>
    </rPh>
    <rPh sb="4" eb="6">
      <t>キョウド</t>
    </rPh>
    <phoneticPr fontId="5"/>
  </si>
  <si>
    <r>
      <t>N/mm</t>
    </r>
    <r>
      <rPr>
        <vertAlign val="superscript"/>
        <sz val="9"/>
        <rFont val="ＭＳ Ｐ明朝"/>
        <family val="1"/>
        <charset val="128"/>
      </rPr>
      <t xml:space="preserve">2             </t>
    </r>
    <r>
      <rPr>
        <sz val="9"/>
        <rFont val="ＭＳ Ｐ明朝"/>
        <family val="1"/>
        <charset val="128"/>
      </rPr>
      <t>(</t>
    </r>
    <phoneticPr fontId="5"/>
  </si>
  <si>
    <r>
      <t>σ'=δ・X</t>
    </r>
    <r>
      <rPr>
        <vertAlign val="subscript"/>
        <sz val="9"/>
        <rFont val="ＭＳ Ｐ明朝"/>
        <family val="1"/>
        <charset val="128"/>
      </rPr>
      <t>mean</t>
    </r>
    <r>
      <rPr>
        <sz val="9"/>
        <rFont val="ＭＳ Ｐ明朝"/>
        <family val="1"/>
        <charset val="128"/>
      </rPr>
      <t>=</t>
    </r>
    <phoneticPr fontId="5"/>
  </si>
  <si>
    <r>
      <t>N/mm</t>
    </r>
    <r>
      <rPr>
        <vertAlign val="superscript"/>
        <sz val="9"/>
        <rFont val="ＭＳ Ｐ明朝"/>
        <family val="1"/>
        <charset val="128"/>
      </rPr>
      <t xml:space="preserve">2   </t>
    </r>
    <phoneticPr fontId="5"/>
  </si>
  <si>
    <t>コンクリート種別：</t>
    <phoneticPr fontId="5"/>
  </si>
  <si>
    <t>（供試体が2本以下の標準偏差の採用値）</t>
    <phoneticPr fontId="5"/>
  </si>
  <si>
    <t>備考</t>
    <rPh sb="0" eb="2">
      <t>ビコウ</t>
    </rPh>
    <phoneticPr fontId="5"/>
  </si>
  <si>
    <r>
      <t>N/mm</t>
    </r>
    <r>
      <rPr>
        <vertAlign val="superscript"/>
        <sz val="9"/>
        <rFont val="ＭＳ Ｐ明朝"/>
        <family val="1"/>
        <charset val="128"/>
      </rPr>
      <t>2</t>
    </r>
    <phoneticPr fontId="2"/>
  </si>
  <si>
    <t>コアの径</t>
    <rPh sb="3" eb="4">
      <t>ケイ</t>
    </rPh>
    <phoneticPr fontId="2"/>
  </si>
  <si>
    <t>mm</t>
    <phoneticPr fontId="2"/>
  </si>
  <si>
    <t>変動係数δ</t>
    <rPh sb="0" eb="2">
      <t>ヘンドウ</t>
    </rPh>
    <rPh sb="2" eb="4">
      <t>ケイスウ</t>
    </rPh>
    <phoneticPr fontId="5"/>
  </si>
  <si>
    <t>設計基準強度</t>
    <rPh sb="0" eb="2">
      <t>セッケイ</t>
    </rPh>
    <rPh sb="2" eb="4">
      <t>キジュン</t>
    </rPh>
    <rPh sb="4" eb="6">
      <t>キョウド</t>
    </rPh>
    <phoneticPr fontId="5"/>
  </si>
  <si>
    <r>
      <t>N/mm</t>
    </r>
    <r>
      <rPr>
        <vertAlign val="superscript"/>
        <sz val="10"/>
        <rFont val="ＭＳ Ｐ明朝"/>
        <family val="1"/>
        <charset val="128"/>
      </rPr>
      <t>2</t>
    </r>
    <phoneticPr fontId="5"/>
  </si>
  <si>
    <r>
      <t>kgf/cm</t>
    </r>
    <r>
      <rPr>
        <vertAlign val="superscript"/>
        <sz val="10"/>
        <rFont val="ＭＳ Ｐ明朝"/>
        <family val="1"/>
        <charset val="128"/>
      </rPr>
      <t>2</t>
    </r>
    <phoneticPr fontId="5"/>
  </si>
  <si>
    <t>δ採用値</t>
    <rPh sb="1" eb="4">
      <t>サイヨウチ</t>
    </rPh>
    <phoneticPr fontId="5"/>
  </si>
  <si>
    <t>竣工年</t>
    <rPh sb="0" eb="2">
      <t>シュンコウ</t>
    </rPh>
    <rPh sb="2" eb="3">
      <t>ネン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</si>
  <si>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</si>
  <si>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</si>
  <si>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コンクリート圧縮強度の一般的な変動係数の一覧表</t>
    <rPh sb="6" eb="8">
      <t>アッシュク</t>
    </rPh>
    <rPh sb="8" eb="10">
      <t>キョウド</t>
    </rPh>
    <rPh sb="11" eb="13">
      <t>イッパン</t>
    </rPh>
    <rPh sb="13" eb="14">
      <t>テキ</t>
    </rPh>
    <rPh sb="15" eb="17">
      <t>ヘンドウ</t>
    </rPh>
    <rPh sb="17" eb="19">
      <t>ケイスウ</t>
    </rPh>
    <rPh sb="20" eb="23">
      <t>イチランヒョウ</t>
    </rPh>
    <phoneticPr fontId="5"/>
  </si>
  <si>
    <t>設計基準強度Fc</t>
    <rPh sb="0" eb="2">
      <t>セッケイ</t>
    </rPh>
    <rPh sb="2" eb="4">
      <t>キジュン</t>
    </rPh>
    <rPh sb="4" eb="6">
      <t>キョウド</t>
    </rPh>
    <phoneticPr fontId="5"/>
  </si>
  <si>
    <t>12.7～13.2</t>
    <phoneticPr fontId="5"/>
  </si>
  <si>
    <t>16.2～17.6</t>
    <phoneticPr fontId="5"/>
  </si>
  <si>
    <t>22.1～23.5</t>
    <phoneticPr fontId="5"/>
  </si>
  <si>
    <t>基準強度不明を</t>
    <rPh sb="0" eb="2">
      <t>キジュン</t>
    </rPh>
    <rPh sb="2" eb="4">
      <t>キョウド</t>
    </rPh>
    <rPh sb="4" eb="6">
      <t>フメイ</t>
    </rPh>
    <phoneticPr fontId="5"/>
  </si>
  <si>
    <r>
      <t>N/mm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(kg/cm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phoneticPr fontId="5"/>
  </si>
  <si>
    <t>(130～135)</t>
    <phoneticPr fontId="5"/>
  </si>
  <si>
    <t>(150)</t>
    <phoneticPr fontId="5"/>
  </si>
  <si>
    <t>(165～180)</t>
    <phoneticPr fontId="5"/>
  </si>
  <si>
    <t>(210)</t>
    <phoneticPr fontId="5"/>
  </si>
  <si>
    <t>(225～240)</t>
    <phoneticPr fontId="5"/>
  </si>
  <si>
    <t>含む合計</t>
    <rPh sb="0" eb="1">
      <t>フク</t>
    </rPh>
    <rPh sb="2" eb="4">
      <t>ゴウケイ</t>
    </rPh>
    <phoneticPr fontId="5"/>
  </si>
  <si>
    <t>1960年以前</t>
    <rPh sb="4" eb="5">
      <t>ネン</t>
    </rPh>
    <rPh sb="5" eb="7">
      <t>イゼン</t>
    </rPh>
    <phoneticPr fontId="5"/>
  </si>
  <si>
    <t>ｎ＝44個</t>
    <rPh sb="4" eb="5">
      <t>コ</t>
    </rPh>
    <phoneticPr fontId="5"/>
  </si>
  <si>
    <t>ｎ＝69個</t>
    <rPh sb="4" eb="5">
      <t>コ</t>
    </rPh>
    <phoneticPr fontId="5"/>
  </si>
  <si>
    <t>ｎ＝250個</t>
    <rPh sb="5" eb="6">
      <t>コ</t>
    </rPh>
    <phoneticPr fontId="5"/>
  </si>
  <si>
    <t>ｎ＝453個</t>
    <rPh sb="5" eb="6">
      <t>コ</t>
    </rPh>
    <phoneticPr fontId="5"/>
  </si>
  <si>
    <t>（昭和35年以前）</t>
    <rPh sb="1" eb="3">
      <t>ショウワ</t>
    </rPh>
    <rPh sb="5" eb="6">
      <t>ネン</t>
    </rPh>
    <rPh sb="6" eb="8">
      <t>イゼン</t>
    </rPh>
    <phoneticPr fontId="5"/>
  </si>
  <si>
    <t>b＝5棟</t>
    <rPh sb="3" eb="4">
      <t>トウ</t>
    </rPh>
    <phoneticPr fontId="5"/>
  </si>
  <si>
    <t>b＝9棟</t>
    <rPh sb="3" eb="4">
      <t>トウ</t>
    </rPh>
    <phoneticPr fontId="5"/>
  </si>
  <si>
    <t>b＝27棟</t>
    <rPh sb="4" eb="5">
      <t>トウ</t>
    </rPh>
    <phoneticPr fontId="5"/>
  </si>
  <si>
    <t>b＝52棟</t>
    <rPh sb="4" eb="5">
      <t>トウ</t>
    </rPh>
    <phoneticPr fontId="5"/>
  </si>
  <si>
    <t>【第Ⅰ期】</t>
    <rPh sb="1" eb="2">
      <t>ダイ</t>
    </rPh>
    <rPh sb="3" eb="4">
      <t>キ</t>
    </rPh>
    <phoneticPr fontId="5"/>
  </si>
  <si>
    <t>δ＝0.364</t>
    <phoneticPr fontId="5"/>
  </si>
  <si>
    <t>δ＝0.309</t>
    <phoneticPr fontId="5"/>
  </si>
  <si>
    <t>δ＝0.250</t>
    <phoneticPr fontId="5"/>
  </si>
  <si>
    <t>δ＝0.268</t>
    <phoneticPr fontId="5"/>
  </si>
  <si>
    <t>1961年～1965年</t>
    <rPh sb="4" eb="5">
      <t>ネン</t>
    </rPh>
    <rPh sb="10" eb="11">
      <t>ネン</t>
    </rPh>
    <phoneticPr fontId="5"/>
  </si>
  <si>
    <t>ｎ＝25個</t>
    <rPh sb="4" eb="5">
      <t>コ</t>
    </rPh>
    <phoneticPr fontId="5"/>
  </si>
  <si>
    <t>ｎ＝61個</t>
    <rPh sb="4" eb="5">
      <t>コ</t>
    </rPh>
    <phoneticPr fontId="5"/>
  </si>
  <si>
    <t>ｎ＝1423個</t>
    <rPh sb="6" eb="7">
      <t>コ</t>
    </rPh>
    <phoneticPr fontId="5"/>
  </si>
  <si>
    <t>ｎ＝1769個</t>
    <rPh sb="6" eb="7">
      <t>コ</t>
    </rPh>
    <phoneticPr fontId="5"/>
  </si>
  <si>
    <t>b＝3棟</t>
    <rPh sb="3" eb="4">
      <t>トウ</t>
    </rPh>
    <phoneticPr fontId="5"/>
  </si>
  <si>
    <t>b＝138棟</t>
    <rPh sb="5" eb="6">
      <t>トウ</t>
    </rPh>
    <phoneticPr fontId="5"/>
  </si>
  <si>
    <t>b＝6棟</t>
    <rPh sb="3" eb="4">
      <t>トウ</t>
    </rPh>
    <phoneticPr fontId="5"/>
  </si>
  <si>
    <t>b＝173棟</t>
    <rPh sb="5" eb="6">
      <t>トウ</t>
    </rPh>
    <phoneticPr fontId="5"/>
  </si>
  <si>
    <t>δ＝0.311</t>
    <phoneticPr fontId="5"/>
  </si>
  <si>
    <t>δ＝0.269</t>
    <phoneticPr fontId="5"/>
  </si>
  <si>
    <t>δ＝0.233</t>
    <phoneticPr fontId="5"/>
  </si>
  <si>
    <t>δ＝0.271</t>
    <phoneticPr fontId="5"/>
  </si>
  <si>
    <t>1966年～1970年</t>
    <rPh sb="4" eb="5">
      <t>ネン</t>
    </rPh>
    <rPh sb="10" eb="11">
      <t>ネン</t>
    </rPh>
    <phoneticPr fontId="5"/>
  </si>
  <si>
    <t>ｎ＝3個</t>
    <rPh sb="3" eb="4">
      <t>コ</t>
    </rPh>
    <phoneticPr fontId="5"/>
  </si>
  <si>
    <t>ｎ＝1965個</t>
    <rPh sb="6" eb="7">
      <t>コ</t>
    </rPh>
    <phoneticPr fontId="5"/>
  </si>
  <si>
    <t>ｎ＝395個</t>
    <rPh sb="5" eb="6">
      <t>コ</t>
    </rPh>
    <phoneticPr fontId="5"/>
  </si>
  <si>
    <t>ｎ＝2530個</t>
    <rPh sb="6" eb="7">
      <t>コ</t>
    </rPh>
    <phoneticPr fontId="5"/>
  </si>
  <si>
    <t>b＝1棟</t>
    <rPh sb="3" eb="4">
      <t>トウ</t>
    </rPh>
    <phoneticPr fontId="5"/>
  </si>
  <si>
    <t>b＝205棟</t>
    <rPh sb="5" eb="6">
      <t>トウ</t>
    </rPh>
    <phoneticPr fontId="5"/>
  </si>
  <si>
    <t>b＝36棟</t>
    <rPh sb="4" eb="5">
      <t>トウ</t>
    </rPh>
    <phoneticPr fontId="5"/>
  </si>
  <si>
    <t>b＝260棟</t>
    <rPh sb="5" eb="6">
      <t>トウ</t>
    </rPh>
    <phoneticPr fontId="5"/>
  </si>
  <si>
    <t>δ＝0.234</t>
    <phoneticPr fontId="5"/>
  </si>
  <si>
    <t>δ＝0.205</t>
    <phoneticPr fontId="5"/>
  </si>
  <si>
    <t>δ＝0.165</t>
    <phoneticPr fontId="5"/>
  </si>
  <si>
    <t>δ＝0.198</t>
    <phoneticPr fontId="5"/>
  </si>
  <si>
    <t>1971年～1975年</t>
    <rPh sb="4" eb="5">
      <t>ネン</t>
    </rPh>
    <rPh sb="10" eb="11">
      <t>ネン</t>
    </rPh>
    <phoneticPr fontId="5"/>
  </si>
  <si>
    <t>ｎ＝22個</t>
    <rPh sb="4" eb="5">
      <t>コ</t>
    </rPh>
    <phoneticPr fontId="5"/>
  </si>
  <si>
    <t>ｎ＝12個</t>
    <rPh sb="4" eb="5">
      <t>コ</t>
    </rPh>
    <phoneticPr fontId="5"/>
  </si>
  <si>
    <t>ｎ＝1180個</t>
    <rPh sb="6" eb="7">
      <t>コ</t>
    </rPh>
    <phoneticPr fontId="5"/>
  </si>
  <si>
    <t>ｎ＝2097個</t>
    <rPh sb="6" eb="7">
      <t>コ</t>
    </rPh>
    <phoneticPr fontId="5"/>
  </si>
  <si>
    <t>ｎ＝13個</t>
    <rPh sb="4" eb="5">
      <t>コ</t>
    </rPh>
    <phoneticPr fontId="5"/>
  </si>
  <si>
    <t>ｎ＝3398個</t>
    <rPh sb="6" eb="7">
      <t>コ</t>
    </rPh>
    <phoneticPr fontId="5"/>
  </si>
  <si>
    <t>b＝128棟</t>
    <rPh sb="5" eb="6">
      <t>トウ</t>
    </rPh>
    <phoneticPr fontId="5"/>
  </si>
  <si>
    <t>b＝202棟</t>
    <rPh sb="5" eb="6">
      <t>トウ</t>
    </rPh>
    <phoneticPr fontId="5"/>
  </si>
  <si>
    <t>b＝344棟</t>
    <rPh sb="5" eb="6">
      <t>トウ</t>
    </rPh>
    <phoneticPr fontId="5"/>
  </si>
  <si>
    <t>【第Ⅱ期】</t>
    <rPh sb="1" eb="2">
      <t>ダイ</t>
    </rPh>
    <rPh sb="3" eb="4">
      <t>キ</t>
    </rPh>
    <phoneticPr fontId="5"/>
  </si>
  <si>
    <t>δ＝0.202</t>
    <phoneticPr fontId="5"/>
  </si>
  <si>
    <t>δ＝0.235</t>
    <phoneticPr fontId="5"/>
  </si>
  <si>
    <t>δ＝0.191</t>
    <phoneticPr fontId="5"/>
  </si>
  <si>
    <t>δ＝0.189</t>
    <phoneticPr fontId="5"/>
  </si>
  <si>
    <t>δ＝0.186</t>
    <phoneticPr fontId="5"/>
  </si>
  <si>
    <t>1976年～1980年</t>
    <rPh sb="4" eb="5">
      <t>ネン</t>
    </rPh>
    <rPh sb="10" eb="11">
      <t>ネン</t>
    </rPh>
    <phoneticPr fontId="5"/>
  </si>
  <si>
    <t>ｎ＝50個</t>
    <rPh sb="4" eb="5">
      <t>コ</t>
    </rPh>
    <phoneticPr fontId="5"/>
  </si>
  <si>
    <t>ｎ＝1950個</t>
    <rPh sb="6" eb="7">
      <t>コ</t>
    </rPh>
    <phoneticPr fontId="5"/>
  </si>
  <si>
    <t>ｎ＝26個</t>
    <rPh sb="4" eb="5">
      <t>コ</t>
    </rPh>
    <phoneticPr fontId="5"/>
  </si>
  <si>
    <t>ｎ＝2086個</t>
    <rPh sb="6" eb="7">
      <t>コ</t>
    </rPh>
    <phoneticPr fontId="5"/>
  </si>
  <si>
    <t>b＝211棟</t>
    <rPh sb="5" eb="6">
      <t>トウ</t>
    </rPh>
    <phoneticPr fontId="5"/>
  </si>
  <si>
    <t>b＝2棟</t>
    <rPh sb="3" eb="4">
      <t>トウ</t>
    </rPh>
    <phoneticPr fontId="5"/>
  </si>
  <si>
    <t>b＝224棟</t>
    <rPh sb="5" eb="6">
      <t>トウ</t>
    </rPh>
    <phoneticPr fontId="5"/>
  </si>
  <si>
    <t>δ＝0.146</t>
    <phoneticPr fontId="5"/>
  </si>
  <si>
    <t>δ＝0.155</t>
    <phoneticPr fontId="5"/>
  </si>
  <si>
    <t>δ＝0.166</t>
    <phoneticPr fontId="5"/>
  </si>
  <si>
    <t>δ＝0.156</t>
    <phoneticPr fontId="5"/>
  </si>
  <si>
    <t>1981年以降</t>
    <rPh sb="4" eb="5">
      <t>ネン</t>
    </rPh>
    <rPh sb="5" eb="7">
      <t>イコウ</t>
    </rPh>
    <phoneticPr fontId="5"/>
  </si>
  <si>
    <t>ｎ＝159個</t>
    <rPh sb="5" eb="6">
      <t>コ</t>
    </rPh>
    <phoneticPr fontId="5"/>
  </si>
  <si>
    <t>ｎ＝178個</t>
    <rPh sb="5" eb="6">
      <t>コ</t>
    </rPh>
    <phoneticPr fontId="5"/>
  </si>
  <si>
    <t>（昭和56年以降）</t>
    <rPh sb="1" eb="3">
      <t>ショウワ</t>
    </rPh>
    <rPh sb="5" eb="6">
      <t>ネン</t>
    </rPh>
    <rPh sb="6" eb="8">
      <t>イコウ</t>
    </rPh>
    <phoneticPr fontId="5"/>
  </si>
  <si>
    <t>b＝18棟</t>
    <rPh sb="4" eb="5">
      <t>トウ</t>
    </rPh>
    <phoneticPr fontId="5"/>
  </si>
  <si>
    <t>b＝21棟</t>
    <rPh sb="4" eb="5">
      <t>トウ</t>
    </rPh>
    <phoneticPr fontId="5"/>
  </si>
  <si>
    <t>δ＝0.157</t>
    <phoneticPr fontId="5"/>
  </si>
  <si>
    <t>竣工年不明の建物</t>
    <rPh sb="0" eb="2">
      <t>シュンコウ</t>
    </rPh>
    <rPh sb="2" eb="3">
      <t>ネン</t>
    </rPh>
    <rPh sb="3" eb="5">
      <t>フメイ</t>
    </rPh>
    <rPh sb="6" eb="8">
      <t>タテモノ</t>
    </rPh>
    <phoneticPr fontId="5"/>
  </si>
  <si>
    <t>ｎ＝91個</t>
    <rPh sb="4" eb="5">
      <t>コ</t>
    </rPh>
    <phoneticPr fontId="5"/>
  </si>
  <si>
    <t>ｎ＝157個</t>
    <rPh sb="5" eb="6">
      <t>コ</t>
    </rPh>
    <phoneticPr fontId="5"/>
  </si>
  <si>
    <t>ｎ＝4938個</t>
    <rPh sb="6" eb="7">
      <t>コ</t>
    </rPh>
    <phoneticPr fontId="5"/>
  </si>
  <si>
    <t>ｎ＝4738個</t>
    <rPh sb="6" eb="7">
      <t>コ</t>
    </rPh>
    <phoneticPr fontId="5"/>
  </si>
  <si>
    <t>ｎ＝39個</t>
    <rPh sb="4" eb="5">
      <t>コ</t>
    </rPh>
    <phoneticPr fontId="5"/>
  </si>
  <si>
    <t>ｎ＝10741個</t>
    <rPh sb="7" eb="8">
      <t>コ</t>
    </rPh>
    <phoneticPr fontId="5"/>
  </si>
  <si>
    <t>を含む合計</t>
    <rPh sb="1" eb="2">
      <t>フク</t>
    </rPh>
    <rPh sb="3" eb="5">
      <t>ゴウケイ</t>
    </rPh>
    <phoneticPr fontId="5"/>
  </si>
  <si>
    <t>b＝11棟</t>
    <rPh sb="4" eb="5">
      <t>トウ</t>
    </rPh>
    <phoneticPr fontId="5"/>
  </si>
  <si>
    <t>b＝511棟</t>
    <rPh sb="5" eb="6">
      <t>トウ</t>
    </rPh>
    <phoneticPr fontId="5"/>
  </si>
  <si>
    <t>b＝483棟</t>
    <rPh sb="5" eb="6">
      <t>トウ</t>
    </rPh>
    <phoneticPr fontId="5"/>
  </si>
  <si>
    <t>b＝1102棟</t>
    <rPh sb="6" eb="7">
      <t>トウ</t>
    </rPh>
    <phoneticPr fontId="5"/>
  </si>
  <si>
    <t>δ＝0.304</t>
    <phoneticPr fontId="5"/>
  </si>
  <si>
    <t>δ＝0.282</t>
    <phoneticPr fontId="5"/>
  </si>
  <si>
    <t>δ＝0.221</t>
    <phoneticPr fontId="5"/>
  </si>
  <si>
    <t>δ＝0.171</t>
    <phoneticPr fontId="5"/>
  </si>
  <si>
    <t>δ＝0.173</t>
    <phoneticPr fontId="5"/>
  </si>
  <si>
    <t>δ＝0.201</t>
    <phoneticPr fontId="5"/>
  </si>
  <si>
    <r>
      <t>σ</t>
    </r>
    <r>
      <rPr>
        <vertAlign val="subscript"/>
        <sz val="9"/>
        <rFont val="ＭＳ Ｐ明朝"/>
        <family val="1"/>
        <charset val="128"/>
      </rPr>
      <t>B1</t>
    </r>
    <r>
      <rPr>
        <sz val="9"/>
        <rFont val="ＭＳ Ｐ明朝"/>
        <family val="1"/>
        <charset val="128"/>
      </rPr>
      <t xml:space="preserve"> </t>
    </r>
    <phoneticPr fontId="2"/>
  </si>
  <si>
    <r>
      <t xml:space="preserve"> σ</t>
    </r>
    <r>
      <rPr>
        <vertAlign val="subscript"/>
        <sz val="9"/>
        <rFont val="ＭＳ Ｐ明朝"/>
        <family val="1"/>
        <charset val="128"/>
      </rPr>
      <t>B2</t>
    </r>
    <phoneticPr fontId="2"/>
  </si>
  <si>
    <t>1.25Fc =</t>
    <phoneticPr fontId="2"/>
  </si>
  <si>
    <t>1.5Fc =</t>
    <phoneticPr fontId="2"/>
  </si>
  <si>
    <t>普通</t>
    <rPh sb="0" eb="2">
      <t>フツウ</t>
    </rPh>
    <phoneticPr fontId="2"/>
  </si>
  <si>
    <r>
      <t>kgf/cm</t>
    </r>
    <r>
      <rPr>
        <vertAlign val="superscript"/>
        <sz val="9"/>
        <rFont val="ＭＳ Ｐ明朝"/>
        <family val="1"/>
        <charset val="128"/>
      </rPr>
      <t>2</t>
    </r>
    <phoneticPr fontId="5"/>
  </si>
  <si>
    <t>Grubbs-Smirnow 判別表（Dの値）</t>
    <rPh sb="15" eb="17">
      <t>ハンベツ</t>
    </rPh>
    <rPh sb="17" eb="18">
      <t>ヒョウ</t>
    </rPh>
    <rPh sb="21" eb="22">
      <t>アタイ</t>
    </rPh>
    <phoneticPr fontId="2"/>
  </si>
  <si>
    <t>コア本数</t>
    <rPh sb="2" eb="4">
      <t>ホンスウ</t>
    </rPh>
    <phoneticPr fontId="2"/>
  </si>
  <si>
    <t>有意
水準</t>
    <rPh sb="0" eb="2">
      <t>ユウイ</t>
    </rPh>
    <rPh sb="3" eb="5">
      <t>スイジュン</t>
    </rPh>
    <phoneticPr fontId="2"/>
  </si>
  <si>
    <t>コア
番号</t>
    <rPh sb="3" eb="5">
      <t>バンゴウ</t>
    </rPh>
    <phoneticPr fontId="5"/>
  </si>
  <si>
    <t>棄却
検定</t>
    <rPh sb="0" eb="2">
      <t>キキャク</t>
    </rPh>
    <rPh sb="3" eb="5">
      <t>ケンテイ</t>
    </rPh>
    <phoneticPr fontId="2"/>
  </si>
  <si>
    <t>T</t>
    <phoneticPr fontId="2"/>
  </si>
  <si>
    <t>壁</t>
    <rPh sb="0" eb="1">
      <t>カベ</t>
    </rPh>
    <phoneticPr fontId="2"/>
  </si>
  <si>
    <t>C-1</t>
    <phoneticPr fontId="5"/>
  </si>
  <si>
    <t>C-2</t>
    <phoneticPr fontId="5"/>
  </si>
  <si>
    <t>C-3</t>
    <phoneticPr fontId="5"/>
  </si>
  <si>
    <t>W-4</t>
    <phoneticPr fontId="2"/>
  </si>
  <si>
    <t>W-5</t>
    <phoneticPr fontId="2"/>
  </si>
  <si>
    <t>W-6</t>
    <phoneticPr fontId="2"/>
  </si>
  <si>
    <t>W-7</t>
    <phoneticPr fontId="2"/>
  </si>
  <si>
    <t>W-8</t>
    <phoneticPr fontId="2"/>
  </si>
  <si>
    <t>W-9</t>
    <phoneticPr fontId="2"/>
  </si>
  <si>
    <t>W-10</t>
    <phoneticPr fontId="2"/>
  </si>
  <si>
    <t>W-11</t>
    <phoneticPr fontId="2"/>
  </si>
  <si>
    <t>W-12</t>
    <phoneticPr fontId="2"/>
  </si>
  <si>
    <t>W-13</t>
    <phoneticPr fontId="2"/>
  </si>
  <si>
    <t>W-14</t>
    <phoneticPr fontId="2"/>
  </si>
  <si>
    <t>W-15</t>
    <phoneticPr fontId="2"/>
  </si>
  <si>
    <t>W-16</t>
    <phoneticPr fontId="2"/>
  </si>
  <si>
    <t>W-17</t>
    <phoneticPr fontId="2"/>
  </si>
  <si>
    <r>
      <t>σ</t>
    </r>
    <r>
      <rPr>
        <vertAlign val="subscript"/>
        <sz val="9"/>
        <rFont val="ＭＳ Ｐ明朝"/>
        <family val="1"/>
        <charset val="128"/>
      </rPr>
      <t>B1</t>
    </r>
    <r>
      <rPr>
        <sz val="9"/>
        <rFont val="ＭＳ Ｐ明朝"/>
        <family val="1"/>
        <charset val="128"/>
      </rPr>
      <t>の上限値 =</t>
    </r>
    <rPh sb="4" eb="7">
      <t>ジョウゲンチ</t>
    </rPh>
    <phoneticPr fontId="2"/>
  </si>
  <si>
    <r>
      <t>σ</t>
    </r>
    <r>
      <rPr>
        <vertAlign val="subscript"/>
        <sz val="9"/>
        <rFont val="ＭＳ Ｐ明朝"/>
        <family val="1"/>
        <charset val="128"/>
      </rPr>
      <t>Ｂ２</t>
    </r>
    <r>
      <rPr>
        <sz val="9"/>
        <rFont val="ＭＳ Ｐ明朝"/>
        <family val="1"/>
        <charset val="128"/>
      </rPr>
      <t>の上限値 =</t>
    </r>
    <rPh sb="4" eb="7">
      <t>ジョウ</t>
    </rPh>
    <phoneticPr fontId="2"/>
  </si>
  <si>
    <t>-</t>
    <phoneticPr fontId="2"/>
  </si>
  <si>
    <t>棄却 D=</t>
    <rPh sb="0" eb="2">
      <t>キキャク</t>
    </rPh>
    <phoneticPr fontId="2"/>
  </si>
  <si>
    <t>2017準拠</t>
    <rPh sb="4" eb="6">
      <t>ジュンキョ</t>
    </rPh>
    <phoneticPr fontId="2"/>
  </si>
  <si>
    <t>下記にメッセージが出た場合には、コメントを記載し対応すること</t>
    <rPh sb="0" eb="2">
      <t>カキ</t>
    </rPh>
    <rPh sb="9" eb="10">
      <t>デ</t>
    </rPh>
    <rPh sb="11" eb="13">
      <t>バアイ</t>
    </rPh>
    <rPh sb="21" eb="23">
      <t>キサイ</t>
    </rPh>
    <rPh sb="24" eb="26">
      <t>タイオウ</t>
    </rPh>
    <phoneticPr fontId="2"/>
  </si>
  <si>
    <t>建物階数</t>
    <rPh sb="0" eb="2">
      <t>タテモノ</t>
    </rPh>
    <rPh sb="2" eb="4">
      <t>カイスウ</t>
    </rPh>
    <phoneticPr fontId="2"/>
  </si>
  <si>
    <t>2017準拠,3</t>
    <rPh sb="4" eb="6">
      <t>ジュンキョ</t>
    </rPh>
    <phoneticPr fontId="2"/>
  </si>
  <si>
    <t>棄却検定について</t>
    <rPh sb="0" eb="2">
      <t>キキャク</t>
    </rPh>
    <rPh sb="2" eb="4">
      <t>ケンテイ</t>
    </rPh>
    <phoneticPr fontId="2"/>
  </si>
  <si>
    <t>３本の内２本の強度が同じ場合には残りの１本の強度に関係なく棄却検定がNGとなります。その様な場合には担当の先生に相談してください。</t>
    <rPh sb="1" eb="2">
      <t>ボン</t>
    </rPh>
    <rPh sb="3" eb="4">
      <t>ウチ</t>
    </rPh>
    <rPh sb="5" eb="6">
      <t>ホン</t>
    </rPh>
    <rPh sb="7" eb="9">
      <t>キョウド</t>
    </rPh>
    <rPh sb="10" eb="11">
      <t>オナ</t>
    </rPh>
    <rPh sb="12" eb="14">
      <t>バアイ</t>
    </rPh>
    <rPh sb="16" eb="17">
      <t>ノコ</t>
    </rPh>
    <rPh sb="20" eb="21">
      <t>ホン</t>
    </rPh>
    <rPh sb="22" eb="24">
      <t>キョウド</t>
    </rPh>
    <rPh sb="25" eb="27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</si>
</sst>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"/>
    <numFmt numFmtId="178" formatCode="0.0_ "/>
    <numFmt numFmtId="179" formatCode="0.00_ "/>
    <numFmt numFmtId="180" formatCode="0.000"/>
    <numFmt numFmtId="181" formatCode="0&quot;年&quot;"/>
    <numFmt numFmtId="182" formatCode="#,##0.0"/>
  </numFmts>
  <fonts count="16">
    <font>
      <sz val="10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179" fontId="1" fillId="2" borderId="7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right" vertical="center"/>
    </xf>
    <xf numFmtId="180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right" vertical="center" shrinkToFit="1"/>
    </xf>
    <xf numFmtId="181" fontId="3" fillId="0" borderId="12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9" fontId="1" fillId="0" borderId="13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1" fillId="0" borderId="1" xfId="0" applyNumberFormat="1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82" fontId="3" fillId="0" borderId="2" xfId="0" applyNumberFormat="1" applyFont="1" applyBorder="1" applyAlignment="1">
      <alignment horizontal="center" vertical="center" shrinkToFit="1"/>
    </xf>
    <xf numFmtId="182" fontId="3" fillId="0" borderId="3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80" fontId="3" fillId="0" borderId="10" xfId="0" applyNumberFormat="1" applyFont="1" applyBorder="1" applyAlignment="1">
      <alignment horizontal="center" vertical="center" shrinkToFit="1"/>
    </xf>
    <xf numFmtId="180" fontId="3" fillId="0" borderId="11" xfId="0" applyNumberFormat="1" applyFont="1" applyBorder="1" applyAlignment="1">
      <alignment horizontal="center" vertical="center" shrinkToFit="1"/>
    </xf>
    <xf numFmtId="180" fontId="3" fillId="0" borderId="12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right" vertical="center" shrinkToFit="1"/>
    </xf>
    <xf numFmtId="0" fontId="3" fillId="3" borderId="11" xfId="0" applyFont="1" applyFill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10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view="pageBreakPreview" topLeftCell="A4" zoomScale="115" zoomScaleNormal="115" zoomScaleSheetLayoutView="115" workbookViewId="0">
      <selection activeCell="C39" sqref="C39"/>
    </sheetView>
  </sheetViews>
  <sheetFormatPr defaultColWidth="9.8984375" defaultRowHeight="15" customHeight="1"/>
  <cols>
    <col min="1" max="1" width="1.796875" style="3" customWidth="1"/>
    <col min="2" max="2" width="4.59765625" style="3" customWidth="1"/>
    <col min="3" max="3" width="6.09765625" style="3" customWidth="1"/>
    <col min="4" max="4" width="4.8984375" style="3" bestFit="1" customWidth="1"/>
    <col min="5" max="5" width="5" style="3" customWidth="1"/>
    <col min="6" max="7" width="6.5" style="3" customWidth="1"/>
    <col min="8" max="9" width="4.8984375" style="3" bestFit="1" customWidth="1"/>
    <col min="10" max="15" width="7.3984375" style="3" customWidth="1"/>
    <col min="16" max="16" width="8.296875" style="3" customWidth="1"/>
    <col min="17" max="16384" width="9.8984375" style="3"/>
  </cols>
  <sheetData>
    <row r="1" spans="1:18" ht="15" customHeight="1">
      <c r="A1" s="1"/>
      <c r="B1" s="2"/>
      <c r="F1" s="1"/>
      <c r="G1" s="1"/>
      <c r="J1" s="1"/>
      <c r="K1" s="5" t="s">
        <v>177</v>
      </c>
      <c r="L1" s="1" t="s">
        <v>149</v>
      </c>
      <c r="M1" s="49">
        <f>IF(F46="","",MIN(30,1.25*F46))</f>
        <v>22.0649625</v>
      </c>
      <c r="N1" s="4" t="s">
        <v>29</v>
      </c>
      <c r="O1" s="77" t="s">
        <v>0</v>
      </c>
      <c r="P1" s="77"/>
    </row>
    <row r="2" spans="1:18" ht="15" customHeight="1">
      <c r="A2" s="1"/>
      <c r="B2" s="93" t="s">
        <v>183</v>
      </c>
      <c r="C2" s="93"/>
      <c r="D2" s="110">
        <v>1</v>
      </c>
      <c r="E2" s="110"/>
      <c r="F2" s="4"/>
      <c r="G2" s="4"/>
      <c r="J2" s="4"/>
      <c r="K2" s="68" t="s">
        <v>178</v>
      </c>
      <c r="L2" s="1" t="s">
        <v>150</v>
      </c>
      <c r="M2" s="50">
        <f>IF(F46="","",MIN(36,1.5*F46))</f>
        <v>26.477954999999998</v>
      </c>
      <c r="N2" s="4" t="s">
        <v>29</v>
      </c>
      <c r="O2" s="182" t="s">
        <v>184</v>
      </c>
      <c r="P2" s="182"/>
    </row>
    <row r="3" spans="1:18" ht="15" customHeight="1">
      <c r="A3" s="1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8" ht="15" customHeight="1">
      <c r="A4" s="1"/>
      <c r="B4" s="79" t="s">
        <v>1</v>
      </c>
      <c r="C4" s="82" t="s">
        <v>156</v>
      </c>
      <c r="D4" s="85" t="s">
        <v>2</v>
      </c>
      <c r="E4" s="82" t="s">
        <v>30</v>
      </c>
      <c r="F4" s="82" t="s">
        <v>3</v>
      </c>
      <c r="G4" s="82" t="s">
        <v>4</v>
      </c>
      <c r="H4" s="87" t="s">
        <v>5</v>
      </c>
      <c r="I4" s="88"/>
      <c r="J4" s="82" t="s">
        <v>6</v>
      </c>
      <c r="K4" s="91" t="s">
        <v>7</v>
      </c>
      <c r="L4" s="91" t="s">
        <v>8</v>
      </c>
      <c r="M4" s="82" t="s">
        <v>157</v>
      </c>
      <c r="N4" s="87" t="s">
        <v>9</v>
      </c>
      <c r="O4" s="88"/>
      <c r="P4" s="91" t="s">
        <v>10</v>
      </c>
    </row>
    <row r="5" spans="1:18" ht="15" customHeight="1">
      <c r="A5" s="1"/>
      <c r="B5" s="80"/>
      <c r="C5" s="83"/>
      <c r="D5" s="83"/>
      <c r="E5" s="86"/>
      <c r="F5" s="83"/>
      <c r="G5" s="86"/>
      <c r="H5" s="89"/>
      <c r="I5" s="90"/>
      <c r="J5" s="86"/>
      <c r="K5" s="92"/>
      <c r="L5" s="92"/>
      <c r="M5" s="86"/>
      <c r="N5" s="89"/>
      <c r="O5" s="90"/>
      <c r="P5" s="92"/>
    </row>
    <row r="6" spans="1:18" ht="15" customHeight="1">
      <c r="A6" s="1"/>
      <c r="B6" s="80"/>
      <c r="C6" s="83"/>
      <c r="D6" s="83"/>
      <c r="E6" s="86"/>
      <c r="F6" s="83"/>
      <c r="G6" s="86"/>
      <c r="H6" s="89"/>
      <c r="I6" s="90"/>
      <c r="J6" s="86"/>
      <c r="K6" s="92"/>
      <c r="L6" s="92"/>
      <c r="M6" s="86"/>
      <c r="N6" s="48" t="s">
        <v>147</v>
      </c>
      <c r="O6" s="48" t="s">
        <v>148</v>
      </c>
      <c r="P6" s="92"/>
    </row>
    <row r="7" spans="1:18" ht="15" customHeight="1">
      <c r="A7" s="1"/>
      <c r="B7" s="81"/>
      <c r="C7" s="84"/>
      <c r="D7" s="84"/>
      <c r="E7" s="8" t="s">
        <v>31</v>
      </c>
      <c r="F7" s="6" t="s">
        <v>11</v>
      </c>
      <c r="G7" s="54" t="s">
        <v>12</v>
      </c>
      <c r="H7" s="7" t="s">
        <v>13</v>
      </c>
      <c r="I7" s="7" t="s">
        <v>14</v>
      </c>
      <c r="J7" s="6" t="s">
        <v>12</v>
      </c>
      <c r="K7" s="8" t="s">
        <v>12</v>
      </c>
      <c r="L7" s="8" t="s">
        <v>12</v>
      </c>
      <c r="M7" s="6" t="s">
        <v>158</v>
      </c>
      <c r="N7" s="8" t="s">
        <v>12</v>
      </c>
      <c r="O7" s="8" t="s">
        <v>12</v>
      </c>
      <c r="P7" s="8" t="s">
        <v>12</v>
      </c>
    </row>
    <row r="8" spans="1:18" ht="15" customHeight="1">
      <c r="A8" s="1"/>
      <c r="B8" s="79" t="str">
        <f>IF($D$2&gt;=6,"6","")</f>
        <v/>
      </c>
      <c r="C8" s="9"/>
      <c r="D8" s="9"/>
      <c r="E8" s="9"/>
      <c r="F8" s="10"/>
      <c r="G8" s="11"/>
      <c r="H8" s="11"/>
      <c r="I8" s="11"/>
      <c r="J8" s="9"/>
      <c r="K8" s="104" t="str">
        <f>IF(AND(G8="",G9="",G10="",G11="",G12="",G13=""),"",AVERAGE(G8:G13))</f>
        <v/>
      </c>
      <c r="L8" s="99" t="str">
        <f>IF(G8="","",IF(G9="", IF(K8*$L$45&lt;2.5,2.5, K8*$L$45),IF(G10="",IF(K8*$L$45&lt;2.5,2.5,K8*$L$45),IF(STDEV(G8:G13)&lt;2.5,2.5,STDEV(G8:G13)))))</f>
        <v/>
      </c>
      <c r="M8" s="72" t="str">
        <f>IF(G8&gt;0,ABS(G8-K8)/IF(L11="",L8,L11),"")</f>
        <v/>
      </c>
      <c r="N8" s="100" t="str">
        <f>IF(K8="","",MIN(K8-L8/2,$M$1,30))</f>
        <v/>
      </c>
      <c r="O8" s="103" t="str">
        <f>IF(K8="","",MIN(K8-L8,$M$2,36))</f>
        <v/>
      </c>
      <c r="P8" s="94" t="str">
        <f>IF(K8="","",MAX(N8,O8))</f>
        <v/>
      </c>
      <c r="Q8" s="66" t="str">
        <f>IF(AND(COUNT(E8:E13)&gt;1,MIN(E8:E13)&lt;100,COUNT(E8:E13)&lt;4),"100mm未満の径のコアの場合には４本以上のコアが必要です。","")</f>
        <v/>
      </c>
    </row>
    <row r="9" spans="1:18" ht="15" customHeight="1">
      <c r="A9" s="1"/>
      <c r="B9" s="80"/>
      <c r="C9" s="12"/>
      <c r="D9" s="12"/>
      <c r="E9" s="12"/>
      <c r="F9" s="13"/>
      <c r="G9" s="14"/>
      <c r="H9" s="14"/>
      <c r="I9" s="14"/>
      <c r="J9" s="12"/>
      <c r="K9" s="105"/>
      <c r="L9" s="97"/>
      <c r="M9" s="73" t="str">
        <f>IF(G9&gt;0,ABS(G9-K8)/IF(L11="",L8,L11),"")</f>
        <v/>
      </c>
      <c r="N9" s="101"/>
      <c r="O9" s="103"/>
      <c r="P9" s="95"/>
      <c r="Q9" s="66" t="str">
        <f>IF(AND(COUNT(E8:E13)&gt;1,MIN(E8:E13)&lt;75,COUNT(E8:E13)&lt;5),"75mm未満の径のコアの場合には５本以上のコアが必要です。","")</f>
        <v/>
      </c>
    </row>
    <row r="10" spans="1:18" ht="15" customHeight="1">
      <c r="A10" s="1"/>
      <c r="B10" s="80"/>
      <c r="C10" s="12"/>
      <c r="D10" s="12"/>
      <c r="E10" s="12"/>
      <c r="F10" s="13"/>
      <c r="G10" s="14"/>
      <c r="H10" s="14"/>
      <c r="I10" s="14"/>
      <c r="J10" s="12"/>
      <c r="K10" s="105"/>
      <c r="L10" s="97"/>
      <c r="M10" s="73" t="str">
        <f>IF(G10&gt;0,ABS(G10-K8)/IF(L11="",L8,L11),"")</f>
        <v/>
      </c>
      <c r="N10" s="101"/>
      <c r="O10" s="103"/>
      <c r="P10" s="95"/>
      <c r="Q10" s="66" t="str">
        <f>IF(MAX(M8:M13)&gt;K13,"棄却検定NGのデータがあります。","")</f>
        <v/>
      </c>
      <c r="R10" s="64"/>
    </row>
    <row r="11" spans="1:18" ht="15" customHeight="1">
      <c r="A11" s="1"/>
      <c r="B11" s="80"/>
      <c r="C11" s="12"/>
      <c r="D11" s="12"/>
      <c r="E11" s="12"/>
      <c r="F11" s="13"/>
      <c r="G11" s="14"/>
      <c r="H11" s="14"/>
      <c r="I11" s="14"/>
      <c r="J11" s="12"/>
      <c r="K11" s="105"/>
      <c r="L11" s="97" t="str">
        <f>IF(L8&gt;2.5, "", IF(G9="",K8*$L$45,IF(G10="",K8*$L$45,STDEV(G8:G13))))</f>
        <v/>
      </c>
      <c r="M11" s="74" t="str">
        <f>IF(G11&gt;0,ABS(G11-K8)/IF(L11="",L8,L11),"")</f>
        <v/>
      </c>
      <c r="N11" s="101"/>
      <c r="O11" s="103"/>
      <c r="P11" s="95"/>
      <c r="Q11" s="66" t="str">
        <f>IF(P8&lt;13.5,"推定強度が13.5N/mm2を下回ります。","")</f>
        <v/>
      </c>
    </row>
    <row r="12" spans="1:18" ht="15" customHeight="1">
      <c r="A12" s="1"/>
      <c r="B12" s="80"/>
      <c r="C12" s="12"/>
      <c r="D12" s="12"/>
      <c r="E12" s="12"/>
      <c r="F12" s="13"/>
      <c r="G12" s="14"/>
      <c r="H12" s="14"/>
      <c r="I12" s="14"/>
      <c r="J12" s="12"/>
      <c r="K12" s="70" t="s">
        <v>180</v>
      </c>
      <c r="L12" s="97"/>
      <c r="M12" s="74" t="str">
        <f>IF(G12&gt;0,ABS(G12-K8)/IF(L11="",L8,L11),"")</f>
        <v/>
      </c>
      <c r="N12" s="101"/>
      <c r="O12" s="103"/>
      <c r="P12" s="95"/>
      <c r="Q12" s="66" t="str">
        <f>IF(K8&lt;13.5,"コア圧縮強度の平均値が13.5N/mm2を下回ります。","")</f>
        <v/>
      </c>
    </row>
    <row r="13" spans="1:18" ht="15" customHeight="1">
      <c r="A13" s="1"/>
      <c r="B13" s="81"/>
      <c r="C13" s="15"/>
      <c r="D13" s="15"/>
      <c r="E13" s="15"/>
      <c r="F13" s="16"/>
      <c r="G13" s="17"/>
      <c r="H13" s="17"/>
      <c r="I13" s="17"/>
      <c r="J13" s="15"/>
      <c r="K13" s="71" t="str">
        <f>IF(COUNT(M8:M13)&lt;3,"",HLOOKUP(COUNT(M8:M13),δ!$C$34:$N$36,2,FALSE))</f>
        <v/>
      </c>
      <c r="L13" s="98"/>
      <c r="M13" s="75" t="str">
        <f>IF(G13&gt;0,ABS(G13-K8)/IF(L11="",L8,L11),"")</f>
        <v/>
      </c>
      <c r="N13" s="102"/>
      <c r="O13" s="103"/>
      <c r="P13" s="96"/>
      <c r="Q13" s="66" t="str">
        <f>IF(P8&lt;1,"",IF(P8&lt;$F$46*3/4,"σBDがFc x 3/4を下回ります。",""))</f>
        <v/>
      </c>
    </row>
    <row r="14" spans="1:18" ht="15" customHeight="1">
      <c r="A14" s="1"/>
      <c r="B14" s="79" t="str">
        <f>IF($D$2&gt;=5,"5","")</f>
        <v/>
      </c>
      <c r="C14" s="9"/>
      <c r="D14" s="12"/>
      <c r="E14" s="12"/>
      <c r="F14" s="18"/>
      <c r="G14" s="11"/>
      <c r="H14" s="11"/>
      <c r="I14" s="11"/>
      <c r="J14" s="9"/>
      <c r="K14" s="104" t="str">
        <f>IF(AND(G14="",G15="",G16="",G17="",G18="",G19=""),"",AVERAGE(G14:G19))</f>
        <v/>
      </c>
      <c r="L14" s="99" t="str">
        <f>IF(G14="","",IF(G15="", IF(K14*$L$45&lt;2.5,2.5, K14*$L$45),IF(G16="",IF(K14*$L$45&lt;2.5,2.5,K14*$L$45),IF(STDEV(G14:G19)&lt;2.5,2.5,STDEV(G14:G19)))))</f>
        <v/>
      </c>
      <c r="M14" s="72" t="str">
        <f>IF(G14&gt;0,ABS(G14-K14)/IF(L17="",L14,L17),"")</f>
        <v/>
      </c>
      <c r="N14" s="100" t="str">
        <f>IF(K14="","",MIN(K14-L14/2,$M$1,30))</f>
        <v/>
      </c>
      <c r="O14" s="103" t="str">
        <f>IF(K14="","",MIN(K14-L14,$M$2,36))</f>
        <v/>
      </c>
      <c r="P14" s="94" t="str">
        <f>IF(K14="","",MAX(N14,O14))</f>
        <v/>
      </c>
      <c r="Q14" s="66" t="str">
        <f>IF(AND(COUNT(E14:E19)&gt;1,MIN(E14:E19)&lt;100,COUNT(E14:E19)&lt;4),"100mm未満の径のコアの場合には４本以上のコアが必要です。","")</f>
        <v/>
      </c>
    </row>
    <row r="15" spans="1:18" ht="15" customHeight="1">
      <c r="A15" s="1"/>
      <c r="B15" s="80"/>
      <c r="C15" s="12"/>
      <c r="D15" s="12"/>
      <c r="E15" s="12"/>
      <c r="F15" s="19"/>
      <c r="G15" s="14"/>
      <c r="H15" s="14"/>
      <c r="I15" s="14"/>
      <c r="J15" s="12"/>
      <c r="K15" s="105"/>
      <c r="L15" s="97"/>
      <c r="M15" s="73" t="str">
        <f>IF(G15&gt;0,ABS(G15-K14)/IF(L17="",L14,L17),"")</f>
        <v/>
      </c>
      <c r="N15" s="101"/>
      <c r="O15" s="103"/>
      <c r="P15" s="95"/>
      <c r="Q15" s="66" t="str">
        <f>IF(AND(COUNT(E14:E19)&gt;1,MIN(E14:E19)&lt;75,COUNT(E14:E19)&lt;5),"75mm未満の径のコアの場合には５本以上のコアが必要です。","")</f>
        <v/>
      </c>
    </row>
    <row r="16" spans="1:18" ht="15" customHeight="1">
      <c r="A16" s="1"/>
      <c r="B16" s="80"/>
      <c r="C16" s="12"/>
      <c r="D16" s="12"/>
      <c r="E16" s="12"/>
      <c r="F16" s="19"/>
      <c r="G16" s="14"/>
      <c r="H16" s="14"/>
      <c r="I16" s="14"/>
      <c r="J16" s="12"/>
      <c r="K16" s="105"/>
      <c r="L16" s="97"/>
      <c r="M16" s="73" t="str">
        <f>IF(G16&gt;0,ABS(G16-K14)/IF(L17="",L14,L17),"")</f>
        <v/>
      </c>
      <c r="N16" s="101"/>
      <c r="O16" s="103"/>
      <c r="P16" s="95"/>
      <c r="Q16" s="66" t="str">
        <f>IF(MAX(M14:M19)&gt;K19,"棄却検定NGのデータがあります。","")</f>
        <v/>
      </c>
      <c r="R16" s="64"/>
    </row>
    <row r="17" spans="1:18" ht="15" customHeight="1">
      <c r="A17" s="1"/>
      <c r="B17" s="80"/>
      <c r="C17" s="12"/>
      <c r="D17" s="12"/>
      <c r="E17" s="12"/>
      <c r="F17" s="19"/>
      <c r="G17" s="14"/>
      <c r="H17" s="14"/>
      <c r="I17" s="14"/>
      <c r="J17" s="12"/>
      <c r="K17" s="105"/>
      <c r="L17" s="97" t="str">
        <f>IF(L14&gt;2.5, "", IF(G15="",K14*$L$45,IF(G16="",K14*$L$45,STDEV(G14:G19))))</f>
        <v/>
      </c>
      <c r="M17" s="74" t="str">
        <f>IF(G17&gt;0,ABS(G17-K14)/IF(L17="",L14,L17),"")</f>
        <v/>
      </c>
      <c r="N17" s="101"/>
      <c r="O17" s="103"/>
      <c r="P17" s="95"/>
      <c r="Q17" s="66" t="str">
        <f>IF(P14&lt;13.5,"推定強度が13.5N/mm2を下回ります。","")</f>
        <v/>
      </c>
    </row>
    <row r="18" spans="1:18" ht="15" customHeight="1">
      <c r="A18" s="1"/>
      <c r="B18" s="80"/>
      <c r="C18" s="12"/>
      <c r="D18" s="12"/>
      <c r="E18" s="12"/>
      <c r="F18" s="19"/>
      <c r="G18" s="14"/>
      <c r="H18" s="14"/>
      <c r="I18" s="14"/>
      <c r="J18" s="12"/>
      <c r="K18" s="70" t="s">
        <v>180</v>
      </c>
      <c r="L18" s="97"/>
      <c r="M18" s="74" t="str">
        <f>IF(G18&gt;0,ABS(G18-K14)/IF(L17="",L14,L17),"")</f>
        <v/>
      </c>
      <c r="N18" s="101"/>
      <c r="O18" s="103"/>
      <c r="P18" s="95"/>
      <c r="Q18" s="66" t="str">
        <f>IF(K14&lt;13.5,"コア圧縮強度の平均値が13.5N/mm2を下回ります。","")</f>
        <v/>
      </c>
    </row>
    <row r="19" spans="1:18" ht="15" customHeight="1">
      <c r="A19" s="1"/>
      <c r="B19" s="81"/>
      <c r="C19" s="15"/>
      <c r="D19" s="15"/>
      <c r="E19" s="15"/>
      <c r="F19" s="20"/>
      <c r="G19" s="17"/>
      <c r="H19" s="17"/>
      <c r="I19" s="17"/>
      <c r="J19" s="15"/>
      <c r="K19" s="71" t="str">
        <f>IF(COUNT(M14:M19)&lt;3,"",HLOOKUP(COUNT(M14:M19),δ!$C$34:$N$36,2,FALSE))</f>
        <v/>
      </c>
      <c r="L19" s="98"/>
      <c r="M19" s="75" t="str">
        <f>IF(G19&gt;0,ABS(G19-K14)/IF(L17="",L14,L17),"")</f>
        <v/>
      </c>
      <c r="N19" s="102"/>
      <c r="O19" s="103"/>
      <c r="P19" s="96"/>
      <c r="Q19" s="66" t="str">
        <f>IF(P14&lt;1,"",IF(P14&lt;$F$46*3/4,"σBDがFc x 3/4を下回ります。",""))</f>
        <v/>
      </c>
    </row>
    <row r="20" spans="1:18" ht="15" customHeight="1">
      <c r="A20" s="1"/>
      <c r="B20" s="79" t="str">
        <f>IF($D$2&gt;=4,"4","")</f>
        <v/>
      </c>
      <c r="C20" s="12"/>
      <c r="D20" s="12"/>
      <c r="E20" s="12"/>
      <c r="F20" s="18"/>
      <c r="G20" s="11"/>
      <c r="H20" s="11"/>
      <c r="I20" s="11"/>
      <c r="J20" s="9"/>
      <c r="K20" s="104" t="str">
        <f>IF(AND(G20="",G21="",G22="",G23="",G24="",G25=""),"",AVERAGE(G20:G25))</f>
        <v/>
      </c>
      <c r="L20" s="99" t="str">
        <f>IF(G20="","",IF(G21="", IF(K20*$L$45&lt;2.5,2.5, K20*$L$45),IF(G22="",IF(K20*$L$45&lt;2.5,2.5,K20*$L$45),IF(STDEV(G20:G25)&lt;2.5,2.5,STDEV(G20:G25)))))</f>
        <v/>
      </c>
      <c r="M20" s="72" t="str">
        <f>IF(G20&gt;0,ABS(G20-K20)/IF(L23="",L20,L23),"")</f>
        <v/>
      </c>
      <c r="N20" s="100" t="str">
        <f>IF(K20="","",MIN(K20-L20/2,$M$1,30))</f>
        <v/>
      </c>
      <c r="O20" s="103" t="str">
        <f>IF(K20="","",MIN(K20-L20,$M$2,36))</f>
        <v/>
      </c>
      <c r="P20" s="94" t="str">
        <f>IF(K20="","",MAX(N20,O20))</f>
        <v/>
      </c>
      <c r="Q20" s="66" t="str">
        <f>IF(AND(COUNT(E20:E25)&gt;1,MIN(E20:E25)&lt;100,COUNT(E20:E25)&lt;4),"100mm未満の径のコアの場合には４本以上のコアが必要です。","")</f>
        <v/>
      </c>
    </row>
    <row r="21" spans="1:18" ht="15" customHeight="1">
      <c r="A21" s="1"/>
      <c r="B21" s="80"/>
      <c r="C21" s="12"/>
      <c r="D21" s="12"/>
      <c r="E21" s="12"/>
      <c r="F21" s="19"/>
      <c r="G21" s="14"/>
      <c r="H21" s="14"/>
      <c r="I21" s="14"/>
      <c r="J21" s="12"/>
      <c r="K21" s="105"/>
      <c r="L21" s="97"/>
      <c r="M21" s="73" t="str">
        <f>IF(G21&gt;0,ABS(G21-K20)/IF(L23="",L20,L23),"")</f>
        <v/>
      </c>
      <c r="N21" s="101"/>
      <c r="O21" s="103"/>
      <c r="P21" s="95"/>
      <c r="Q21" s="66" t="str">
        <f>IF(AND(COUNT(E20:E25)&gt;1,MIN(E20:E25)&lt;75,COUNT(E20:E25)&lt;5),"75mm未満の径のコアの場合には５本以上のコアが必要です。","")</f>
        <v/>
      </c>
    </row>
    <row r="22" spans="1:18" ht="15" customHeight="1">
      <c r="A22" s="1"/>
      <c r="B22" s="80"/>
      <c r="C22" s="12"/>
      <c r="D22" s="12"/>
      <c r="E22" s="12"/>
      <c r="F22" s="19"/>
      <c r="G22" s="14"/>
      <c r="H22" s="14"/>
      <c r="I22" s="14"/>
      <c r="J22" s="12"/>
      <c r="K22" s="105"/>
      <c r="L22" s="97"/>
      <c r="M22" s="73" t="str">
        <f>IF(G22&gt;0,ABS(G22-K20)/IF(L23="",L20,L23),"")</f>
        <v/>
      </c>
      <c r="N22" s="101"/>
      <c r="O22" s="103"/>
      <c r="P22" s="95"/>
      <c r="Q22" s="66" t="str">
        <f>IF(MAX(M20:M25)&gt;K25,"棄却検定NGのデータがあります。","")</f>
        <v/>
      </c>
      <c r="R22" s="64"/>
    </row>
    <row r="23" spans="1:18" ht="15" customHeight="1">
      <c r="A23" s="1"/>
      <c r="B23" s="80"/>
      <c r="C23" s="12"/>
      <c r="D23" s="12"/>
      <c r="E23" s="12"/>
      <c r="F23" s="19"/>
      <c r="G23" s="14"/>
      <c r="H23" s="14"/>
      <c r="I23" s="14"/>
      <c r="J23" s="12"/>
      <c r="K23" s="105"/>
      <c r="L23" s="97" t="str">
        <f>IF(L20&gt;2.5, "", IF(G21="",K20*$L$45,IF(G22="",K20*$L$45,STDEV(G20:G25))))</f>
        <v/>
      </c>
      <c r="M23" s="74" t="str">
        <f>IF(G23&gt;0,ABS(G23-K20)/IF(L23="",L20,L23),"")</f>
        <v/>
      </c>
      <c r="N23" s="101"/>
      <c r="O23" s="103"/>
      <c r="P23" s="95"/>
      <c r="Q23" s="66" t="str">
        <f>IF(P20&lt;13.5,"推定強度が13.5N/mm2を下回ります。","")</f>
        <v/>
      </c>
    </row>
    <row r="24" spans="1:18" ht="15" customHeight="1">
      <c r="A24" s="1"/>
      <c r="B24" s="80"/>
      <c r="C24" s="12"/>
      <c r="D24" s="12"/>
      <c r="E24" s="12"/>
      <c r="F24" s="19"/>
      <c r="G24" s="14"/>
      <c r="H24" s="14"/>
      <c r="I24" s="14"/>
      <c r="J24" s="12"/>
      <c r="K24" s="70" t="s">
        <v>180</v>
      </c>
      <c r="L24" s="97"/>
      <c r="M24" s="74" t="str">
        <f>IF(G24&gt;0,ABS(G24-K20)/IF(L23="",L20,L23),"")</f>
        <v/>
      </c>
      <c r="N24" s="101"/>
      <c r="O24" s="103"/>
      <c r="P24" s="95"/>
      <c r="Q24" s="66" t="str">
        <f>IF(K20&lt;13.5,"コア圧縮強度の平均値が13.5N/mm2を下回ります。","")</f>
        <v/>
      </c>
    </row>
    <row r="25" spans="1:18" ht="15" customHeight="1">
      <c r="A25" s="1"/>
      <c r="B25" s="81"/>
      <c r="C25" s="15"/>
      <c r="D25" s="15"/>
      <c r="E25" s="15"/>
      <c r="F25" s="20"/>
      <c r="G25" s="17"/>
      <c r="H25" s="17"/>
      <c r="I25" s="17"/>
      <c r="J25" s="15"/>
      <c r="K25" s="71" t="str">
        <f>IF(COUNT(M20:M25)&lt;3,"",HLOOKUP(COUNT(M20:M25),δ!$C$34:$N$36,2,FALSE))</f>
        <v/>
      </c>
      <c r="L25" s="98"/>
      <c r="M25" s="75" t="str">
        <f>IF(G25&gt;0,ABS(G25-K20)/IF(L23="",L20,L23),"")</f>
        <v/>
      </c>
      <c r="N25" s="102"/>
      <c r="O25" s="103"/>
      <c r="P25" s="96"/>
      <c r="Q25" s="66" t="str">
        <f>IF(P20&lt;1,"",IF(P20&lt;$F$46*3/4,"σBDがFc x 3/4を下回ります。",""))</f>
        <v/>
      </c>
    </row>
    <row r="26" spans="1:18" ht="15" customHeight="1">
      <c r="A26" s="1"/>
      <c r="B26" s="79" t="str">
        <f>IF($D$2&gt;=3,"3","")</f>
        <v/>
      </c>
      <c r="C26" s="12"/>
      <c r="D26" s="12"/>
      <c r="E26" s="12"/>
      <c r="F26" s="18"/>
      <c r="G26" s="11"/>
      <c r="H26" s="11"/>
      <c r="I26" s="11"/>
      <c r="J26" s="9"/>
      <c r="K26" s="104" t="str">
        <f>IF(AND(G26="",G27="",G28="",G29="",G30="",G31=""),"",AVERAGE(G26:G31))</f>
        <v/>
      </c>
      <c r="L26" s="99" t="str">
        <f>IF(G26="","",IF(G27="", IF(K26*$L$45&lt;2.5,2.5, K26*$L$45),IF(G28="",IF(K26*$L$45&lt;2.5,2.5,K26*$L$45),IF(STDEV(G26:G31)&lt;2.5,2.5,STDEV(G26:G31)))))</f>
        <v/>
      </c>
      <c r="M26" s="72" t="str">
        <f>IF(G26&gt;0,ABS(G26-K26)/IF(L29="",L26,L29),"")</f>
        <v/>
      </c>
      <c r="N26" s="100" t="str">
        <f>IF(K26="","",MIN(K26-L26/2,$M$1,30))</f>
        <v/>
      </c>
      <c r="O26" s="103" t="str">
        <f>IF(K26="","",MIN(K26-L26,$M$2,36))</f>
        <v/>
      </c>
      <c r="P26" s="94" t="str">
        <f>IF(K26="","",MAX(N26,O26))</f>
        <v/>
      </c>
      <c r="Q26" s="66" t="str">
        <f>IF(AND(COUNT(E26:E31)&gt;1,MIN(E26:E31)&lt;100,COUNT(E26:E31)&lt;4),"100mm未満の径のコアの場合には４本以上のコアが必要です。","")</f>
        <v/>
      </c>
    </row>
    <row r="27" spans="1:18" ht="15" customHeight="1">
      <c r="A27" s="1"/>
      <c r="B27" s="80"/>
      <c r="C27" s="12"/>
      <c r="D27" s="12"/>
      <c r="E27" s="12"/>
      <c r="F27" s="19"/>
      <c r="G27" s="14"/>
      <c r="H27" s="14"/>
      <c r="I27" s="14"/>
      <c r="J27" s="12"/>
      <c r="K27" s="105"/>
      <c r="L27" s="97"/>
      <c r="M27" s="73" t="str">
        <f>IF(G27&gt;0,ABS(G27-K26)/IF(L29="",L26,L29),"")</f>
        <v/>
      </c>
      <c r="N27" s="101"/>
      <c r="O27" s="103"/>
      <c r="P27" s="95"/>
      <c r="Q27" s="66" t="str">
        <f>IF(AND(COUNT(E26:E31)&gt;1,MIN(E26:E31)&lt;75,COUNT(E26:E31)&lt;5),"75mm未満の径のコアの場合には５本以上のコアが必要です。","")</f>
        <v/>
      </c>
    </row>
    <row r="28" spans="1:18" ht="15" customHeight="1">
      <c r="A28" s="1"/>
      <c r="B28" s="80"/>
      <c r="C28" s="12"/>
      <c r="D28" s="12"/>
      <c r="E28" s="12"/>
      <c r="F28" s="19"/>
      <c r="G28" s="14"/>
      <c r="H28" s="14"/>
      <c r="I28" s="14"/>
      <c r="J28" s="12"/>
      <c r="K28" s="105"/>
      <c r="L28" s="97"/>
      <c r="M28" s="73" t="str">
        <f>IF(G28&gt;0,ABS(G28-K26)/IF(L29="",L26,L29),"")</f>
        <v/>
      </c>
      <c r="N28" s="101"/>
      <c r="O28" s="103"/>
      <c r="P28" s="95"/>
      <c r="Q28" s="66" t="str">
        <f>IF(MAX(M26:M31)&gt;K31,"棄却検定NGのデータがあります。","")</f>
        <v/>
      </c>
      <c r="R28" s="64"/>
    </row>
    <row r="29" spans="1:18" ht="15" customHeight="1">
      <c r="A29" s="1"/>
      <c r="B29" s="80"/>
      <c r="C29" s="12"/>
      <c r="D29" s="12"/>
      <c r="E29" s="12"/>
      <c r="F29" s="19"/>
      <c r="G29" s="14"/>
      <c r="H29" s="14"/>
      <c r="I29" s="14"/>
      <c r="J29" s="12"/>
      <c r="K29" s="105"/>
      <c r="L29" s="97" t="str">
        <f>IF(L26&gt;2.5, "", IF(G27="",K26*$L$45,IF(G28="",K26*$L$45,STDEV(G26:G31))))</f>
        <v/>
      </c>
      <c r="M29" s="74" t="str">
        <f>IF(G29&gt;0,ABS(G29-K26)/IF(L29="",L26,L29),"")</f>
        <v/>
      </c>
      <c r="N29" s="101"/>
      <c r="O29" s="103"/>
      <c r="P29" s="95"/>
      <c r="Q29" s="66" t="str">
        <f>IF(P26&lt;13.5,"推定強度が13.5N/mm2を下回ります。","")</f>
        <v/>
      </c>
    </row>
    <row r="30" spans="1:18" ht="15" customHeight="1">
      <c r="A30" s="1"/>
      <c r="B30" s="80"/>
      <c r="C30" s="12"/>
      <c r="D30" s="12"/>
      <c r="E30" s="12"/>
      <c r="F30" s="19"/>
      <c r="G30" s="14"/>
      <c r="H30" s="14"/>
      <c r="I30" s="14"/>
      <c r="J30" s="12"/>
      <c r="K30" s="70" t="s">
        <v>180</v>
      </c>
      <c r="L30" s="97"/>
      <c r="M30" s="74" t="str">
        <f>IF(G30&gt;0,ABS(G30-K26)/IF(L29="",L26,L29),"")</f>
        <v/>
      </c>
      <c r="N30" s="101"/>
      <c r="O30" s="103"/>
      <c r="P30" s="95"/>
      <c r="Q30" s="66" t="str">
        <f>IF(K26&lt;13.5,"コア圧縮強度の平均値が13.5N/mm2を下回ります。","")</f>
        <v/>
      </c>
    </row>
    <row r="31" spans="1:18" ht="15" customHeight="1">
      <c r="A31" s="1"/>
      <c r="B31" s="81"/>
      <c r="C31" s="15"/>
      <c r="D31" s="15"/>
      <c r="E31" s="15"/>
      <c r="F31" s="20"/>
      <c r="G31" s="17"/>
      <c r="H31" s="17"/>
      <c r="I31" s="17"/>
      <c r="J31" s="15"/>
      <c r="K31" s="71" t="str">
        <f>IF(COUNT(M26:M31)&lt;3,"",HLOOKUP(COUNT(M26:M31),δ!$C$34:$N$36,2,FALSE))</f>
        <v/>
      </c>
      <c r="L31" s="98"/>
      <c r="M31" s="75" t="str">
        <f>IF(G31&gt;0,ABS(G31-K26)/IF(L29="",L26,L29),"")</f>
        <v/>
      </c>
      <c r="N31" s="102"/>
      <c r="O31" s="103"/>
      <c r="P31" s="96"/>
      <c r="Q31" s="66" t="str">
        <f>IF(P26&lt;1,"",IF(P26&lt;$F$46*3/4,"σBDがFc x 3/4を下回ります。",""))</f>
        <v/>
      </c>
    </row>
    <row r="32" spans="1:18" ht="15" customHeight="1">
      <c r="A32" s="1"/>
      <c r="B32" s="79" t="str">
        <f>IF($D$2&gt;=2,"2","")</f>
        <v/>
      </c>
      <c r="C32" s="12"/>
      <c r="D32" s="12"/>
      <c r="E32" s="12"/>
      <c r="F32" s="18"/>
      <c r="G32" s="11"/>
      <c r="H32" s="11"/>
      <c r="I32" s="11"/>
      <c r="J32" s="9"/>
      <c r="K32" s="104" t="str">
        <f>IF(AND(G32="",G33="",G34="",G35="",G36="",G37=""),"",AVERAGE(G32:G37))</f>
        <v/>
      </c>
      <c r="L32" s="99" t="str">
        <f>IF(G32="","",IF(G33="", IF(K32*$L$45&lt;2.5,2.5, K32*$L$45),IF(G34="",IF(K32*$L$45&lt;2.5,2.5,K32*$L$45),IF(STDEV(G32:G37)&lt;2.5,2.5,STDEV(G32:G37)))))</f>
        <v/>
      </c>
      <c r="M32" s="72" t="str">
        <f>IF(G32&gt;0,ABS(G32-K32)/IF(L35="",L32,L35),"")</f>
        <v/>
      </c>
      <c r="N32" s="100" t="str">
        <f>IF(K32="","",MIN(K32-L32/2,$M$1,30))</f>
        <v/>
      </c>
      <c r="O32" s="103" t="str">
        <f>IF(K32="","",MIN(K32-L32,$M$2,36))</f>
        <v/>
      </c>
      <c r="P32" s="94" t="str">
        <f>IF(K32="","",MAX(N32,O32))</f>
        <v/>
      </c>
      <c r="Q32" s="66" t="str">
        <f>IF(AND(COUNT(E32:E37)&gt;1,MIN(E32:E37)&lt;100,COUNT(E32:E37)&lt;4),"100mm未満の径のコアの場合には４本以上のコアが必要です。","")</f>
        <v/>
      </c>
    </row>
    <row r="33" spans="1:18" ht="15" customHeight="1">
      <c r="A33" s="1"/>
      <c r="B33" s="80"/>
      <c r="C33" s="12"/>
      <c r="D33" s="12"/>
      <c r="E33" s="12"/>
      <c r="F33" s="19"/>
      <c r="G33" s="14"/>
      <c r="H33" s="14"/>
      <c r="I33" s="14"/>
      <c r="J33" s="12"/>
      <c r="K33" s="105"/>
      <c r="L33" s="97"/>
      <c r="M33" s="73" t="str">
        <f>IF(G33&gt;0,ABS(G33-K32)/IF(L35="",L32,L35),"")</f>
        <v/>
      </c>
      <c r="N33" s="101"/>
      <c r="O33" s="103"/>
      <c r="P33" s="95"/>
      <c r="Q33" s="66" t="str">
        <f>IF(AND(COUNT(E32:E37)&gt;1,MIN(E32:E37)&lt;75,COUNT(E32:E37)&lt;5),"75mm未満の径のコアの場合には５本以上のコアが必要です。","")</f>
        <v/>
      </c>
    </row>
    <row r="34" spans="1:18" ht="15" customHeight="1">
      <c r="A34" s="1"/>
      <c r="B34" s="80"/>
      <c r="C34" s="12"/>
      <c r="D34" s="12"/>
      <c r="E34" s="12"/>
      <c r="F34" s="19"/>
      <c r="G34" s="14"/>
      <c r="H34" s="14"/>
      <c r="I34" s="14"/>
      <c r="J34" s="12"/>
      <c r="K34" s="105"/>
      <c r="L34" s="97"/>
      <c r="M34" s="73" t="str">
        <f>IF(G34&gt;0,ABS(G34-K32)/IF(L35="",L32,L35),"")</f>
        <v/>
      </c>
      <c r="N34" s="101"/>
      <c r="O34" s="103"/>
      <c r="P34" s="95"/>
      <c r="Q34" s="66" t="str">
        <f>IF(MAX(M32:M37)&gt;K37,"棄却検定NGのデータがあります。","")</f>
        <v/>
      </c>
      <c r="R34" s="64"/>
    </row>
    <row r="35" spans="1:18" ht="15" customHeight="1">
      <c r="A35" s="1"/>
      <c r="B35" s="80"/>
      <c r="C35" s="12"/>
      <c r="D35" s="12"/>
      <c r="E35" s="12"/>
      <c r="F35" s="19"/>
      <c r="G35" s="14"/>
      <c r="H35" s="14"/>
      <c r="I35" s="14"/>
      <c r="J35" s="12"/>
      <c r="K35" s="105"/>
      <c r="L35" s="97" t="str">
        <f>IF(L32&gt;2.5, "", IF(G33="",K32*$L$45,IF(G34="",K32*$L$45,STDEV(G32:G37))))</f>
        <v/>
      </c>
      <c r="M35" s="74" t="str">
        <f>IF(G35&gt;0,ABS(G35-K32)/IF(L35="",L32,L35),"")</f>
        <v/>
      </c>
      <c r="N35" s="101"/>
      <c r="O35" s="103"/>
      <c r="P35" s="95"/>
      <c r="Q35" s="66" t="str">
        <f>IF(P32&lt;13.5,"推定強度が13.5N/mm2を下回ります。","")</f>
        <v/>
      </c>
    </row>
    <row r="36" spans="1:18" ht="15" customHeight="1">
      <c r="A36" s="1"/>
      <c r="B36" s="80"/>
      <c r="C36" s="12"/>
      <c r="D36" s="12"/>
      <c r="E36" s="12"/>
      <c r="F36" s="19"/>
      <c r="G36" s="14"/>
      <c r="H36" s="14"/>
      <c r="I36" s="14"/>
      <c r="J36" s="12"/>
      <c r="K36" s="70" t="s">
        <v>180</v>
      </c>
      <c r="L36" s="97"/>
      <c r="M36" s="74" t="str">
        <f>IF(G36&gt;0,ABS(G36-K32)/IF(L35="",L32,L35),"")</f>
        <v/>
      </c>
      <c r="N36" s="101"/>
      <c r="O36" s="103"/>
      <c r="P36" s="95"/>
      <c r="Q36" s="66" t="str">
        <f>IF(K32&lt;13.5,"コア圧縮強度の平均値が13.5N/mm2を下回ります。","")</f>
        <v/>
      </c>
    </row>
    <row r="37" spans="1:18" ht="15" customHeight="1">
      <c r="A37" s="1"/>
      <c r="B37" s="81"/>
      <c r="C37" s="15"/>
      <c r="D37" s="15"/>
      <c r="E37" s="15"/>
      <c r="F37" s="20"/>
      <c r="G37" s="17"/>
      <c r="H37" s="17"/>
      <c r="I37" s="17"/>
      <c r="J37" s="15"/>
      <c r="K37" s="71" t="str">
        <f>IF(COUNT(M32:M37)&lt;3,"",HLOOKUP(COUNT(M32:M37),δ!$C$34:$N$36,2,FALSE))</f>
        <v/>
      </c>
      <c r="L37" s="98"/>
      <c r="M37" s="75" t="str">
        <f>IF(G37&gt;0,ABS(G37-K32)/IF(L35="",L32,L35),"")</f>
        <v/>
      </c>
      <c r="N37" s="102"/>
      <c r="O37" s="103"/>
      <c r="P37" s="96"/>
      <c r="Q37" s="66" t="str">
        <f>IF(P32&lt;1,"",IF(P32&lt;$F$46*3/4,"σBDがFc x 3/4を下回ります。",""))</f>
        <v/>
      </c>
    </row>
    <row r="38" spans="1:18" ht="15" customHeight="1">
      <c r="A38" s="1"/>
      <c r="B38" s="79" t="str">
        <f>IF($D$2&gt;=1,"1","")</f>
        <v>1</v>
      </c>
      <c r="C38" s="12"/>
      <c r="D38" s="12"/>
      <c r="E38" s="12"/>
      <c r="F38" s="18"/>
      <c r="G38" s="14"/>
      <c r="H38" s="14"/>
      <c r="I38" s="14"/>
      <c r="J38" s="9"/>
      <c r="K38" s="104" t="str">
        <f>IF(AND(G38="",G39="",G40="",G41="",G42="",G43=""),"",AVERAGE(G38:G43))</f>
        <v/>
      </c>
      <c r="L38" s="99" t="str">
        <f>IF(G38="","",IF(G39="", IF(K38*$L$45&lt;2.5,2.5, K38*$L$45),IF(G40="",IF(K38*$L$45&lt;2.5,2.5,K38*$L$45),IF(STDEV(G38:G43)&lt;2.5,2.5,STDEV(G38:G43)))))</f>
        <v/>
      </c>
      <c r="M38" s="72" t="str">
        <f>IF(G38&gt;0,ABS(G38-K38)/IF(L41="",L38,L41),"")</f>
        <v/>
      </c>
      <c r="N38" s="100" t="str">
        <f>IF(K38="","",MIN(K38-L38/2,$M$1,30))</f>
        <v/>
      </c>
      <c r="O38" s="103" t="str">
        <f>IF(K38="","",MIN(K38-L38,$M$2,36))</f>
        <v/>
      </c>
      <c r="P38" s="94" t="str">
        <f>IF(K38="","",MAX(N38,O38))</f>
        <v/>
      </c>
      <c r="Q38" s="66" t="str">
        <f>IF(AND(COUNT(E38:E43)&gt;1,MIN(E38:E43)&lt;100,COUNT(E38:E43)&lt;4),"100mm未満の径のコアの場合には４本以上のコアが必要です。","")</f>
        <v/>
      </c>
    </row>
    <row r="39" spans="1:18" ht="15" customHeight="1">
      <c r="A39" s="1"/>
      <c r="B39" s="80"/>
      <c r="C39" s="12"/>
      <c r="D39" s="12"/>
      <c r="E39" s="12"/>
      <c r="F39" s="19"/>
      <c r="G39" s="14"/>
      <c r="H39" s="14"/>
      <c r="I39" s="14"/>
      <c r="J39" s="12"/>
      <c r="K39" s="105"/>
      <c r="L39" s="97"/>
      <c r="M39" s="73" t="str">
        <f>IF(G39&gt;0,ABS(G39-K38)/IF(L41="",L38,L41),"")</f>
        <v/>
      </c>
      <c r="N39" s="101"/>
      <c r="O39" s="103"/>
      <c r="P39" s="95"/>
      <c r="Q39" s="66" t="str">
        <f>IF(AND(COUNT(E38:E43)&gt;1,MIN(E38:E43)&lt;75,COUNT(E38:E43)&lt;5),"75mm未満の径のコアの場合には５本以上のコアが必要です。","")</f>
        <v/>
      </c>
    </row>
    <row r="40" spans="1:18" ht="15" customHeight="1">
      <c r="A40" s="1"/>
      <c r="B40" s="80"/>
      <c r="C40" s="12"/>
      <c r="D40" s="12"/>
      <c r="E40" s="12"/>
      <c r="F40" s="19"/>
      <c r="G40" s="14"/>
      <c r="H40" s="14"/>
      <c r="I40" s="14"/>
      <c r="J40" s="12"/>
      <c r="K40" s="105"/>
      <c r="L40" s="97"/>
      <c r="M40" s="73" t="str">
        <f>IF(G40&gt;0,ABS(G40-K38)/IF(L41="",L38,L41),"")</f>
        <v/>
      </c>
      <c r="N40" s="101"/>
      <c r="O40" s="103"/>
      <c r="P40" s="95"/>
      <c r="Q40" s="66" t="str">
        <f>IF(MAX(M38:M43)&gt;K43,"棄却検定NGのデータがあります。","")</f>
        <v/>
      </c>
      <c r="R40" s="64"/>
    </row>
    <row r="41" spans="1:18" ht="15" customHeight="1">
      <c r="A41" s="1"/>
      <c r="B41" s="80"/>
      <c r="C41" s="12"/>
      <c r="D41" s="12"/>
      <c r="E41" s="12"/>
      <c r="F41" s="13"/>
      <c r="G41" s="14"/>
      <c r="H41" s="14"/>
      <c r="I41" s="14"/>
      <c r="J41" s="12"/>
      <c r="K41" s="105"/>
      <c r="L41" s="97" t="str">
        <f>IF(L38&gt;2.5, "", IF(G39="",K38*$L$45,IF(G40="",K38*$L$45,STDEV(G38:G43))))</f>
        <v/>
      </c>
      <c r="M41" s="74" t="str">
        <f>IF(G41&gt;0,ABS(G41-K38)/IF(L41="",L38,L41),"")</f>
        <v/>
      </c>
      <c r="N41" s="101"/>
      <c r="O41" s="103"/>
      <c r="P41" s="95"/>
      <c r="Q41" s="66" t="str">
        <f>IF(P38&lt;13.5,"推定強度が13.5N/mm2を下回ります。","")</f>
        <v/>
      </c>
    </row>
    <row r="42" spans="1:18" ht="15" customHeight="1">
      <c r="A42" s="1"/>
      <c r="B42" s="80"/>
      <c r="C42" s="12"/>
      <c r="D42" s="12"/>
      <c r="E42" s="12"/>
      <c r="F42" s="13"/>
      <c r="G42" s="14"/>
      <c r="H42" s="14"/>
      <c r="I42" s="14"/>
      <c r="J42" s="12"/>
      <c r="K42" s="70" t="s">
        <v>180</v>
      </c>
      <c r="L42" s="97"/>
      <c r="M42" s="74" t="str">
        <f>IF(G42&gt;0,ABS(G42-K38)/IF(L41="",L38,L41),"")</f>
        <v/>
      </c>
      <c r="N42" s="101"/>
      <c r="O42" s="103"/>
      <c r="P42" s="95"/>
      <c r="Q42" s="66" t="str">
        <f>IF(K38&lt;13.5,"コア圧縮強度の平均値が13.5N/mm2を下回ります。","")</f>
        <v/>
      </c>
    </row>
    <row r="43" spans="1:18" ht="15" customHeight="1">
      <c r="A43" s="1"/>
      <c r="B43" s="81"/>
      <c r="C43" s="12"/>
      <c r="D43" s="12"/>
      <c r="E43" s="12"/>
      <c r="F43" s="16"/>
      <c r="G43" s="17"/>
      <c r="H43" s="17"/>
      <c r="I43" s="17"/>
      <c r="J43" s="15"/>
      <c r="K43" s="71" t="str">
        <f>IF(COUNT(M38:M43)&lt;3,"",HLOOKUP(COUNT(M38:M43),δ!$C$34:$N$36,2,FALSE))</f>
        <v/>
      </c>
      <c r="L43" s="98"/>
      <c r="M43" s="75" t="str">
        <f>IF(G43&gt;0,ABS(G43-K38)/IF(L41="",L38,L41),"")</f>
        <v/>
      </c>
      <c r="N43" s="102"/>
      <c r="O43" s="103"/>
      <c r="P43" s="96"/>
      <c r="Q43" s="66" t="str">
        <f>IF(P38&lt;1,"",IF(P38&lt;$F$46*3/4,"σBDがFc x 3/4を下回ります。",""))</f>
        <v/>
      </c>
    </row>
    <row r="44" spans="1:18" ht="15" customHeight="1">
      <c r="A44" s="1"/>
      <c r="B44" s="21"/>
      <c r="C44" s="120" t="s">
        <v>16</v>
      </c>
      <c r="D44" s="120"/>
      <c r="E44" s="120"/>
      <c r="F44" s="120"/>
      <c r="G44" s="120"/>
      <c r="H44" s="120"/>
      <c r="I44" s="120"/>
      <c r="J44" s="121"/>
      <c r="K44" s="22" t="str">
        <f>IF(SUM(K8:K43)=0,"",AVERAGE(K14:K43))</f>
        <v/>
      </c>
      <c r="L44" s="23" t="str">
        <f>IF(SUM(L8,L14,L20,L26,L32,L38)=0,"",AVERAGE(L8,L14,L20,L26,L32,L38))</f>
        <v/>
      </c>
      <c r="M44" s="53"/>
      <c r="N44" s="23" t="str">
        <f>IF(OR(K44="",L44=""),"",K44-L44/2)</f>
        <v/>
      </c>
      <c r="O44" s="24"/>
      <c r="P44" s="22" t="str">
        <f>IF(SUM(P8:P43)=0,"",AVERAGE(P8:P43))</f>
        <v/>
      </c>
    </row>
    <row r="45" spans="1:18" ht="15" customHeight="1">
      <c r="A45" s="1"/>
      <c r="B45" s="111" t="s">
        <v>17</v>
      </c>
      <c r="C45" s="112"/>
      <c r="D45" s="112"/>
      <c r="E45" s="112"/>
      <c r="F45" s="25">
        <v>100</v>
      </c>
      <c r="G45" s="26" t="s">
        <v>18</v>
      </c>
      <c r="H45" s="122">
        <v>200</v>
      </c>
      <c r="I45" s="122"/>
      <c r="J45" s="27" t="s">
        <v>19</v>
      </c>
      <c r="K45" s="28" t="s">
        <v>20</v>
      </c>
      <c r="L45" s="29">
        <f>IF(δ!I4="該当なし（下段に直接入力）",IF(δ!I5="","",δ!I5),δ!I4)</f>
        <v>0.14599999999999999</v>
      </c>
      <c r="M45" s="29"/>
      <c r="N45" s="123" t="s">
        <v>21</v>
      </c>
      <c r="O45" s="123"/>
      <c r="P45" s="124"/>
    </row>
    <row r="46" spans="1:18" ht="15" customHeight="1">
      <c r="A46" s="1"/>
      <c r="B46" s="111" t="s">
        <v>22</v>
      </c>
      <c r="C46" s="112"/>
      <c r="D46" s="112"/>
      <c r="E46" s="112"/>
      <c r="F46" s="51">
        <f>H46*0.0980665</f>
        <v>17.651969999999999</v>
      </c>
      <c r="G46" s="52" t="s">
        <v>23</v>
      </c>
      <c r="H46" s="125">
        <v>180</v>
      </c>
      <c r="I46" s="126"/>
      <c r="J46" s="30" t="s">
        <v>152</v>
      </c>
      <c r="K46" s="127" t="s">
        <v>24</v>
      </c>
      <c r="L46" s="128"/>
      <c r="M46" s="47" t="str">
        <f>IF(OR(K44="",L45=""),"",K44*L45)</f>
        <v/>
      </c>
      <c r="N46" s="31" t="s">
        <v>25</v>
      </c>
      <c r="P46" s="32"/>
    </row>
    <row r="47" spans="1:18" ht="15" customHeight="1">
      <c r="A47" s="1"/>
      <c r="B47" s="111" t="s">
        <v>26</v>
      </c>
      <c r="C47" s="112"/>
      <c r="D47" s="112"/>
      <c r="E47" s="129" t="s">
        <v>151</v>
      </c>
      <c r="F47" s="129"/>
      <c r="G47" s="130"/>
      <c r="H47" s="131"/>
      <c r="I47" s="131"/>
      <c r="J47" s="65"/>
      <c r="K47" s="113" t="s">
        <v>27</v>
      </c>
      <c r="L47" s="114"/>
      <c r="M47" s="114"/>
      <c r="N47" s="114"/>
      <c r="O47" s="114"/>
      <c r="P47" s="115"/>
    </row>
    <row r="48" spans="1:18" ht="15" customHeight="1">
      <c r="A48" s="1"/>
      <c r="B48" s="116" t="s">
        <v>28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1:16" ht="15" customHeight="1">
      <c r="A49" s="1"/>
      <c r="B49" s="117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7"/>
    </row>
    <row r="50" spans="1:16" ht="15" customHeight="1">
      <c r="A50" s="1"/>
      <c r="B50" s="117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7"/>
    </row>
    <row r="51" spans="1:16" ht="15" customHeight="1">
      <c r="A51" s="1"/>
      <c r="B51" s="113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</row>
    <row r="52" spans="1:16" ht="15" customHeight="1">
      <c r="A52" s="1"/>
      <c r="B52" s="1"/>
      <c r="C52" s="1"/>
      <c r="D52" s="1"/>
      <c r="E52" s="1"/>
      <c r="F52" s="1"/>
      <c r="G52" s="33"/>
      <c r="H52" s="33"/>
      <c r="I52" s="33"/>
      <c r="J52" s="1"/>
      <c r="K52" s="1"/>
      <c r="L52" s="1"/>
      <c r="M52" s="1"/>
      <c r="N52" s="1"/>
      <c r="O52" s="1"/>
      <c r="P52" s="1"/>
    </row>
    <row r="53" spans="1:16" ht="15" customHeight="1">
      <c r="G53" s="34"/>
      <c r="H53" s="34"/>
      <c r="I53" s="34"/>
    </row>
    <row r="54" spans="1:16" ht="15" customHeight="1">
      <c r="C54" s="35"/>
      <c r="D54" s="35"/>
      <c r="E54" s="35"/>
      <c r="G54" s="35"/>
      <c r="H54" s="35"/>
      <c r="I54" s="35"/>
    </row>
    <row r="55" spans="1:16" ht="15" customHeight="1">
      <c r="C55" s="34"/>
      <c r="D55" s="34"/>
      <c r="E55" s="34"/>
      <c r="G55" s="35"/>
      <c r="H55" s="35"/>
      <c r="I55" s="35"/>
    </row>
    <row r="56" spans="1:16" ht="15" customHeight="1">
      <c r="G56" s="34"/>
      <c r="H56" s="34"/>
      <c r="I56" s="34"/>
    </row>
  </sheetData>
  <mergeCells count="76">
    <mergeCell ref="B32:B37"/>
    <mergeCell ref="K32:K35"/>
    <mergeCell ref="B47:D47"/>
    <mergeCell ref="E47:F47"/>
    <mergeCell ref="G47:I47"/>
    <mergeCell ref="K38:K41"/>
    <mergeCell ref="B38:B43"/>
    <mergeCell ref="C50:P50"/>
    <mergeCell ref="C51:P51"/>
    <mergeCell ref="D2:E2"/>
    <mergeCell ref="B45:E45"/>
    <mergeCell ref="B46:E46"/>
    <mergeCell ref="K47:P47"/>
    <mergeCell ref="E4:E6"/>
    <mergeCell ref="N4:O5"/>
    <mergeCell ref="B48:B51"/>
    <mergeCell ref="C48:P48"/>
    <mergeCell ref="C49:P49"/>
    <mergeCell ref="C44:J44"/>
    <mergeCell ref="H45:I45"/>
    <mergeCell ref="N45:P45"/>
    <mergeCell ref="H46:I46"/>
    <mergeCell ref="K46:L46"/>
    <mergeCell ref="L38:L40"/>
    <mergeCell ref="N38:N43"/>
    <mergeCell ref="O38:O43"/>
    <mergeCell ref="P38:P43"/>
    <mergeCell ref="L41:L43"/>
    <mergeCell ref="L32:L34"/>
    <mergeCell ref="N32:N37"/>
    <mergeCell ref="O32:O37"/>
    <mergeCell ref="P32:P37"/>
    <mergeCell ref="L35:L37"/>
    <mergeCell ref="P26:P31"/>
    <mergeCell ref="L29:L31"/>
    <mergeCell ref="B20:B25"/>
    <mergeCell ref="L20:L22"/>
    <mergeCell ref="N20:N25"/>
    <mergeCell ref="O20:O25"/>
    <mergeCell ref="P20:P25"/>
    <mergeCell ref="L23:L25"/>
    <mergeCell ref="B26:B31"/>
    <mergeCell ref="L26:L28"/>
    <mergeCell ref="N26:N31"/>
    <mergeCell ref="O26:O31"/>
    <mergeCell ref="K26:K29"/>
    <mergeCell ref="K20:K23"/>
    <mergeCell ref="P14:P19"/>
    <mergeCell ref="L17:L19"/>
    <mergeCell ref="P4:P6"/>
    <mergeCell ref="B8:B13"/>
    <mergeCell ref="L8:L10"/>
    <mergeCell ref="N8:N13"/>
    <mergeCell ref="O8:O13"/>
    <mergeCell ref="P8:P13"/>
    <mergeCell ref="L11:L13"/>
    <mergeCell ref="B14:B19"/>
    <mergeCell ref="L14:L16"/>
    <mergeCell ref="N14:N19"/>
    <mergeCell ref="O14:O19"/>
    <mergeCell ref="G4:G6"/>
    <mergeCell ref="K14:K17"/>
    <mergeCell ref="K8:K11"/>
    <mergeCell ref="O1:P1"/>
    <mergeCell ref="O2:P2"/>
    <mergeCell ref="B3:P3"/>
    <mergeCell ref="B4:B7"/>
    <mergeCell ref="C4:C7"/>
    <mergeCell ref="D4:D7"/>
    <mergeCell ref="F4:F6"/>
    <mergeCell ref="M4:M6"/>
    <mergeCell ref="H4:I6"/>
    <mergeCell ref="J4:J6"/>
    <mergeCell ref="K4:K6"/>
    <mergeCell ref="L4:L6"/>
    <mergeCell ref="B2:C2"/>
  </mergeCells>
  <phoneticPr fontId="2"/>
  <dataValidations count="2">
    <dataValidation operator="greaterThan" allowBlank="1" showInputMessage="1" showErrorMessage="1" errorTitle="ERROW !!" error="入力値が不適切です" promptTitle="*** 供試体基本寸法 ***" prompt="&lt;記号&gt; φ：直径 × h：高さ" sqref="H45:I45 F45" xr:uid="{00000000-0002-0000-0000-000000000000}"/>
    <dataValidation allowBlank="1" showInputMessage="1" showErrorMessage="1" promptTitle="**圧縮強度平均値**" prompt="〈記号〉：Xm平均値" sqref="K38 K32 K26 K14 K20 K8" xr:uid="{00000000-0002-0000-0000-000001000000}"/>
  </dataValidations>
  <pageMargins left="0.78740157480314965" right="0.59055118110236227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6848-2E0C-4AE6-AEB5-C8AAC72A5A6A}">
  <dimension ref="A1:V56"/>
  <sheetViews>
    <sheetView tabSelected="1" view="pageBreakPreview" topLeftCell="B1" zoomScale="115" zoomScaleNormal="115" zoomScaleSheetLayoutView="115" workbookViewId="0">
      <selection activeCell="Q1" sqref="Q1"/>
    </sheetView>
  </sheetViews>
  <sheetFormatPr defaultColWidth="9.8984375" defaultRowHeight="15" customHeight="1"/>
  <cols>
    <col min="1" max="1" width="1.796875" style="3" customWidth="1"/>
    <col min="2" max="2" width="4.59765625" style="3" customWidth="1"/>
    <col min="3" max="3" width="6.09765625" style="3" customWidth="1"/>
    <col min="4" max="4" width="4.8984375" style="3" bestFit="1" customWidth="1"/>
    <col min="5" max="5" width="5" style="3" customWidth="1"/>
    <col min="6" max="7" width="6.5" style="3" customWidth="1"/>
    <col min="8" max="9" width="4.8984375" style="3" bestFit="1" customWidth="1"/>
    <col min="10" max="15" width="7.3984375" style="3" customWidth="1"/>
    <col min="16" max="16" width="8.296875" style="3" customWidth="1"/>
    <col min="17" max="16384" width="9.8984375" style="3"/>
  </cols>
  <sheetData>
    <row r="1" spans="1:18" ht="15" customHeight="1">
      <c r="A1" s="1"/>
      <c r="B1" s="2"/>
      <c r="F1" s="1"/>
      <c r="G1" s="1"/>
      <c r="J1" s="1"/>
      <c r="K1" s="5" t="s">
        <v>177</v>
      </c>
      <c r="L1" s="1" t="s">
        <v>149</v>
      </c>
      <c r="M1" s="49">
        <f>IF(F46="","",MIN(30,1.25*F46))</f>
        <v>22.0649625</v>
      </c>
      <c r="N1" s="4" t="s">
        <v>29</v>
      </c>
      <c r="O1" s="1"/>
      <c r="P1" s="5" t="s">
        <v>0</v>
      </c>
    </row>
    <row r="2" spans="1:18" ht="15" customHeight="1">
      <c r="A2" s="1"/>
      <c r="B2" s="93" t="s">
        <v>183</v>
      </c>
      <c r="C2" s="93"/>
      <c r="D2" s="110">
        <v>5</v>
      </c>
      <c r="E2" s="110"/>
      <c r="F2" s="4"/>
      <c r="G2" s="4"/>
      <c r="J2" s="4"/>
      <c r="K2" s="68" t="s">
        <v>178</v>
      </c>
      <c r="L2" s="1" t="s">
        <v>150</v>
      </c>
      <c r="M2" s="50">
        <f>IF(F46="","",MIN(36,1.5*F46))</f>
        <v>26.477954999999998</v>
      </c>
      <c r="N2" s="4" t="s">
        <v>29</v>
      </c>
      <c r="O2" s="5"/>
      <c r="P2" s="69" t="s">
        <v>181</v>
      </c>
    </row>
    <row r="3" spans="1:18" ht="15" customHeight="1">
      <c r="A3" s="1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8" ht="15" customHeight="1">
      <c r="A4" s="1"/>
      <c r="B4" s="79" t="s">
        <v>1</v>
      </c>
      <c r="C4" s="82" t="s">
        <v>156</v>
      </c>
      <c r="D4" s="85" t="s">
        <v>2</v>
      </c>
      <c r="E4" s="82" t="s">
        <v>30</v>
      </c>
      <c r="F4" s="82" t="s">
        <v>3</v>
      </c>
      <c r="G4" s="82" t="s">
        <v>4</v>
      </c>
      <c r="H4" s="87" t="s">
        <v>5</v>
      </c>
      <c r="I4" s="88"/>
      <c r="J4" s="82" t="s">
        <v>6</v>
      </c>
      <c r="K4" s="91" t="s">
        <v>7</v>
      </c>
      <c r="L4" s="91" t="s">
        <v>8</v>
      </c>
      <c r="M4" s="82" t="s">
        <v>157</v>
      </c>
      <c r="N4" s="87" t="s">
        <v>9</v>
      </c>
      <c r="O4" s="88"/>
      <c r="P4" s="91" t="s">
        <v>10</v>
      </c>
    </row>
    <row r="5" spans="1:18" ht="15" customHeight="1">
      <c r="A5" s="1"/>
      <c r="B5" s="80"/>
      <c r="C5" s="83"/>
      <c r="D5" s="83"/>
      <c r="E5" s="86"/>
      <c r="F5" s="83"/>
      <c r="G5" s="86"/>
      <c r="H5" s="89"/>
      <c r="I5" s="90"/>
      <c r="J5" s="86"/>
      <c r="K5" s="92"/>
      <c r="L5" s="92"/>
      <c r="M5" s="86"/>
      <c r="N5" s="89"/>
      <c r="O5" s="90"/>
      <c r="P5" s="92"/>
    </row>
    <row r="6" spans="1:18" ht="15" customHeight="1">
      <c r="A6" s="1"/>
      <c r="B6" s="80"/>
      <c r="C6" s="83"/>
      <c r="D6" s="83"/>
      <c r="E6" s="86"/>
      <c r="F6" s="83"/>
      <c r="G6" s="86"/>
      <c r="H6" s="89"/>
      <c r="I6" s="90"/>
      <c r="J6" s="86"/>
      <c r="K6" s="92"/>
      <c r="L6" s="92"/>
      <c r="M6" s="86"/>
      <c r="N6" s="62" t="s">
        <v>147</v>
      </c>
      <c r="O6" s="62" t="s">
        <v>148</v>
      </c>
      <c r="P6" s="92"/>
    </row>
    <row r="7" spans="1:18" ht="15" customHeight="1">
      <c r="A7" s="1"/>
      <c r="B7" s="81"/>
      <c r="C7" s="84"/>
      <c r="D7" s="84"/>
      <c r="E7" s="61" t="s">
        <v>31</v>
      </c>
      <c r="F7" s="60" t="s">
        <v>11</v>
      </c>
      <c r="G7" s="60" t="s">
        <v>12</v>
      </c>
      <c r="H7" s="7" t="s">
        <v>13</v>
      </c>
      <c r="I7" s="7" t="s">
        <v>14</v>
      </c>
      <c r="J7" s="60" t="s">
        <v>12</v>
      </c>
      <c r="K7" s="61" t="s">
        <v>12</v>
      </c>
      <c r="L7" s="61" t="s">
        <v>12</v>
      </c>
      <c r="M7" s="60" t="s">
        <v>158</v>
      </c>
      <c r="N7" s="61" t="s">
        <v>12</v>
      </c>
      <c r="O7" s="61" t="s">
        <v>12</v>
      </c>
      <c r="P7" s="61" t="s">
        <v>12</v>
      </c>
      <c r="Q7" s="3" t="s">
        <v>182</v>
      </c>
    </row>
    <row r="8" spans="1:18" ht="15" customHeight="1">
      <c r="A8" s="1"/>
      <c r="B8" s="79" t="str">
        <f>IF($D$2&gt;=6,"6","")</f>
        <v/>
      </c>
      <c r="C8" s="9"/>
      <c r="D8" s="9"/>
      <c r="E8" s="9"/>
      <c r="F8" s="10"/>
      <c r="G8" s="11"/>
      <c r="H8" s="11"/>
      <c r="I8" s="11"/>
      <c r="J8" s="9"/>
      <c r="K8" s="104" t="str">
        <f>IF(AND(G8="",G9="",G10="",G11="",G12="",G13=""),"",AVERAGE(G8:G13))</f>
        <v/>
      </c>
      <c r="L8" s="134" t="str">
        <f>IF(G8="","",IF(G9="", IF(K8*$L$45&lt;2.5,2.5, K8*$L$45),IF(G10="",IF(K8*$L$45&lt;2.5,2.5,K8*$L$45),IF(STDEV(G8:G13)&lt;2.5,2.5,STDEV(G8:G13)))))</f>
        <v/>
      </c>
      <c r="M8" s="72" t="str">
        <f>IF(G8&gt;0,ABS(G8-K8)/IF(L11="",L8,L11),"")</f>
        <v/>
      </c>
      <c r="N8" s="100" t="str">
        <f>IF(K8="","",MIN(K8-L8/2,$M$1,30))</f>
        <v/>
      </c>
      <c r="O8" s="103" t="str">
        <f>IF(K8="","",MIN(K8-L8,$M$2,36))</f>
        <v/>
      </c>
      <c r="P8" s="94" t="str">
        <f>IF(K8="","",MAX(N8,O8))</f>
        <v/>
      </c>
      <c r="Q8" s="66" t="str">
        <f>IF(AND(COUNT(E8:E13)&gt;1,MIN(E8:E13)&lt;100,COUNT(E8:E13)&lt;4),"100mm未満の径のコアの場合には４本以上のコアが必要です。","")</f>
        <v/>
      </c>
    </row>
    <row r="9" spans="1:18" ht="15" customHeight="1">
      <c r="A9" s="1"/>
      <c r="B9" s="80"/>
      <c r="C9" s="12"/>
      <c r="D9" s="12"/>
      <c r="E9" s="12"/>
      <c r="F9" s="13"/>
      <c r="G9" s="14"/>
      <c r="H9" s="14"/>
      <c r="I9" s="14"/>
      <c r="J9" s="12"/>
      <c r="K9" s="105"/>
      <c r="L9" s="132"/>
      <c r="M9" s="73" t="str">
        <f>IF(G9&gt;0,ABS(G9-K8)/IF(L11="",L8,L11),"")</f>
        <v/>
      </c>
      <c r="N9" s="101"/>
      <c r="O9" s="103"/>
      <c r="P9" s="95"/>
      <c r="Q9" s="66" t="str">
        <f>IF(AND(COUNT(E8:E13)&gt;1,MIN(E8:E13)&lt;75,COUNT(E8:E13)&lt;5),"75mm未満の径のコアの場合には５本以上のコアが必要です。","")</f>
        <v/>
      </c>
    </row>
    <row r="10" spans="1:18" ht="15" customHeight="1">
      <c r="A10" s="1"/>
      <c r="B10" s="80"/>
      <c r="C10" s="12"/>
      <c r="D10" s="12"/>
      <c r="E10" s="12"/>
      <c r="F10" s="13"/>
      <c r="G10" s="14"/>
      <c r="H10" s="14"/>
      <c r="I10" s="14"/>
      <c r="J10" s="12"/>
      <c r="K10" s="105"/>
      <c r="L10" s="132"/>
      <c r="M10" s="73" t="str">
        <f>IF(G10&gt;0,ABS(G10-K8)/IF(L11="",L8,L11),"")</f>
        <v/>
      </c>
      <c r="N10" s="101"/>
      <c r="O10" s="103"/>
      <c r="P10" s="95"/>
      <c r="Q10" s="66" t="str">
        <f>IF(MAX(M8:M13)&gt;K13,"棄却検定NGのデータがあります。","")</f>
        <v/>
      </c>
      <c r="R10" s="64"/>
    </row>
    <row r="11" spans="1:18" ht="15" customHeight="1">
      <c r="A11" s="1"/>
      <c r="B11" s="80"/>
      <c r="C11" s="12"/>
      <c r="D11" s="12"/>
      <c r="E11" s="12"/>
      <c r="F11" s="13"/>
      <c r="G11" s="14"/>
      <c r="H11" s="14"/>
      <c r="I11" s="14"/>
      <c r="J11" s="12"/>
      <c r="K11" s="105"/>
      <c r="L11" s="132" t="str">
        <f>IF(L8&gt;2.5, "", IF(G9="",K8*$L$45,IF(G10="",K8*$L$45,STDEV(G8:G13))))</f>
        <v/>
      </c>
      <c r="M11" s="74" t="str">
        <f>IF(G11&gt;0,ABS(G11-K8)/IF(L11="",L8,L11),"")</f>
        <v/>
      </c>
      <c r="N11" s="101"/>
      <c r="O11" s="103"/>
      <c r="P11" s="95"/>
      <c r="Q11" s="66" t="str">
        <f>IF(P8&lt;13.5,"推定強度が13.5N/mm2を下回ります。","")</f>
        <v/>
      </c>
    </row>
    <row r="12" spans="1:18" ht="15" customHeight="1">
      <c r="A12" s="1"/>
      <c r="B12" s="80"/>
      <c r="C12" s="12"/>
      <c r="D12" s="12"/>
      <c r="E12" s="12"/>
      <c r="F12" s="13"/>
      <c r="G12" s="14"/>
      <c r="H12" s="14"/>
      <c r="I12" s="14"/>
      <c r="J12" s="12"/>
      <c r="K12" s="70" t="s">
        <v>180</v>
      </c>
      <c r="L12" s="132"/>
      <c r="M12" s="74" t="str">
        <f>IF(G12&gt;0,ABS(G12-K8)/IF(L11="",L8,L11),"")</f>
        <v/>
      </c>
      <c r="N12" s="101"/>
      <c r="O12" s="103"/>
      <c r="P12" s="95"/>
      <c r="Q12" s="66" t="str">
        <f>IF(K8&lt;13.5,"コア圧縮強度の平均値が13.5N/mm2を下回ります。","")</f>
        <v/>
      </c>
    </row>
    <row r="13" spans="1:18" ht="15" customHeight="1">
      <c r="A13" s="1"/>
      <c r="B13" s="81"/>
      <c r="C13" s="15"/>
      <c r="D13" s="15"/>
      <c r="E13" s="15"/>
      <c r="F13" s="16"/>
      <c r="G13" s="17"/>
      <c r="H13" s="17"/>
      <c r="I13" s="17"/>
      <c r="J13" s="15"/>
      <c r="K13" s="71" t="str">
        <f>IF(COUNT(M8:M13)&lt;3,"",HLOOKUP(COUNT(M8:M13),δ!$C$34:$N$36,2,FALSE))</f>
        <v/>
      </c>
      <c r="L13" s="133"/>
      <c r="M13" s="75" t="str">
        <f>IF(G13&gt;0,ABS(G13-K8)/IF(L11="",L8,L11),"")</f>
        <v/>
      </c>
      <c r="N13" s="102"/>
      <c r="O13" s="103"/>
      <c r="P13" s="96"/>
      <c r="Q13" s="66" t="str">
        <f>IF(P8&lt;1,"",IF(P8&lt;$F$46*3/4,"σBDがFc x 3/4を下回ります。",""))</f>
        <v/>
      </c>
    </row>
    <row r="14" spans="1:18" ht="15" customHeight="1">
      <c r="A14" s="1"/>
      <c r="B14" s="79" t="str">
        <f>IF($D$2&gt;=5,"5","")</f>
        <v>5</v>
      </c>
      <c r="C14" s="9" t="s">
        <v>174</v>
      </c>
      <c r="D14" s="12" t="s">
        <v>159</v>
      </c>
      <c r="E14" s="12">
        <v>101</v>
      </c>
      <c r="F14" s="18">
        <v>2.25</v>
      </c>
      <c r="G14" s="11">
        <v>18</v>
      </c>
      <c r="H14" s="11">
        <v>10.5</v>
      </c>
      <c r="I14" s="11" t="s">
        <v>179</v>
      </c>
      <c r="J14" s="9"/>
      <c r="K14" s="104">
        <f>IF(AND(G14="",G15="",G16="",G17="",G18="",G19=""),"",AVERAGE(G14:G19))</f>
        <v>18.666666666666668</v>
      </c>
      <c r="L14" s="134">
        <f>IF(G14="","",IF(G15="", IF(K14*$L$45&lt;2.5,2.5, K14*$L$45),IF(G16="",IF(K14*$L$45&lt;2.5,2.5,K14*$L$45),IF(STDEV(G14:G19)&lt;2.5,2.5,STDEV(G14:G19)))))</f>
        <v>2.5</v>
      </c>
      <c r="M14" s="72">
        <f>IF(G14&gt;0,ABS(G14-K14)/IF(L17="",L14,L17),"")</f>
        <v>0.57735026918962684</v>
      </c>
      <c r="N14" s="100">
        <f>IF(K14="","",MIN(K14-L14/2,$M$1,30))</f>
        <v>17.416666666666668</v>
      </c>
      <c r="O14" s="103">
        <f>IF(K14="","",MIN(K14-L14,$M$2,36))</f>
        <v>16.166666666666668</v>
      </c>
      <c r="P14" s="94">
        <f>IF(K14="","",MAX(N14,O14))</f>
        <v>17.416666666666668</v>
      </c>
      <c r="Q14" s="66" t="str">
        <f>IF(AND(COUNT(E14:E19)&gt;1,MIN(E14:E19)&lt;100,COUNT(E14:E19)&lt;4),"100mm未満の径のコアの場合には４本以上のコアが必要です。","")</f>
        <v/>
      </c>
    </row>
    <row r="15" spans="1:18" ht="15" customHeight="1">
      <c r="A15" s="1"/>
      <c r="B15" s="80"/>
      <c r="C15" s="12" t="s">
        <v>175</v>
      </c>
      <c r="D15" s="12" t="s">
        <v>159</v>
      </c>
      <c r="E15" s="12">
        <v>102</v>
      </c>
      <c r="F15" s="19">
        <v>2.2999999999999998</v>
      </c>
      <c r="G15" s="14">
        <v>20</v>
      </c>
      <c r="H15" s="14">
        <v>13</v>
      </c>
      <c r="I15" s="14">
        <v>2.2999999999999998</v>
      </c>
      <c r="J15" s="12"/>
      <c r="K15" s="105"/>
      <c r="L15" s="132"/>
      <c r="M15" s="73">
        <f>IF(G15&gt;0,ABS(G15-K14)/IF(L17="",L14,L17),"")</f>
        <v>1.1547005383792506</v>
      </c>
      <c r="N15" s="101"/>
      <c r="O15" s="103"/>
      <c r="P15" s="95"/>
      <c r="Q15" s="66" t="str">
        <f>IF(AND(COUNT(E14:E19)&gt;1,MIN(E14:E19)&lt;75,COUNT(E14:E19)&lt;5),"75mm未満の径のコアの場合には５本以上のコアが必要です。","")</f>
        <v/>
      </c>
    </row>
    <row r="16" spans="1:18" ht="15" customHeight="1">
      <c r="A16" s="1"/>
      <c r="B16" s="80"/>
      <c r="C16" s="12" t="s">
        <v>176</v>
      </c>
      <c r="D16" s="12" t="s">
        <v>159</v>
      </c>
      <c r="E16" s="12">
        <v>101</v>
      </c>
      <c r="F16" s="19">
        <v>2.2799999999999998</v>
      </c>
      <c r="G16" s="14">
        <v>18</v>
      </c>
      <c r="H16" s="14">
        <v>5</v>
      </c>
      <c r="I16" s="14" t="s">
        <v>179</v>
      </c>
      <c r="J16" s="12"/>
      <c r="K16" s="105"/>
      <c r="L16" s="132"/>
      <c r="M16" s="73">
        <f>IF(G16&gt;0,ABS(G16-K14)/IF(L17="",L14,L17),"")</f>
        <v>0.57735026918962684</v>
      </c>
      <c r="N16" s="101"/>
      <c r="O16" s="103"/>
      <c r="P16" s="95"/>
      <c r="Q16" s="66" t="str">
        <f>IF(MAX(M14:M19)&gt;K19,"棄却検定NGのデータがあります。","")</f>
        <v>棄却検定NGのデータがあります。</v>
      </c>
      <c r="R16" s="64"/>
    </row>
    <row r="17" spans="1:18" ht="15" customHeight="1">
      <c r="A17" s="1"/>
      <c r="B17" s="80"/>
      <c r="C17" s="12"/>
      <c r="D17" s="12"/>
      <c r="E17" s="12"/>
      <c r="F17" s="19"/>
      <c r="G17" s="14"/>
      <c r="H17" s="14"/>
      <c r="I17" s="14"/>
      <c r="J17" s="12"/>
      <c r="K17" s="105"/>
      <c r="L17" s="132">
        <f>IF(L14&gt;2.5, "", IF(G15="",K14*$L$45,IF(G16="",K14*$L$45,STDEV(G14:G19))))</f>
        <v>1.1547005383792515</v>
      </c>
      <c r="M17" s="74" t="str">
        <f>IF(G17&gt;0,ABS(G17-K14)/IF(L17="",L14,L17),"")</f>
        <v/>
      </c>
      <c r="N17" s="101"/>
      <c r="O17" s="103"/>
      <c r="P17" s="95"/>
      <c r="Q17" s="66" t="str">
        <f>IF(P14&lt;13.5,"推定強度が13.5N/mm2を下回ります。","")</f>
        <v/>
      </c>
    </row>
    <row r="18" spans="1:18" ht="15" customHeight="1">
      <c r="A18" s="1"/>
      <c r="B18" s="80"/>
      <c r="C18" s="12"/>
      <c r="D18" s="12"/>
      <c r="E18" s="12"/>
      <c r="F18" s="19"/>
      <c r="G18" s="14"/>
      <c r="H18" s="14"/>
      <c r="I18" s="14"/>
      <c r="J18" s="12"/>
      <c r="K18" s="70" t="s">
        <v>180</v>
      </c>
      <c r="L18" s="132"/>
      <c r="M18" s="74" t="str">
        <f>IF(G18&gt;0,ABS(G18-K14)/IF(L17="",L14,L17),"")</f>
        <v/>
      </c>
      <c r="N18" s="101"/>
      <c r="O18" s="103"/>
      <c r="P18" s="95"/>
      <c r="Q18" s="66" t="str">
        <f>IF(K14&lt;13.5,"コア圧縮強度の平均値が13.5N/mm2を下回ります。","")</f>
        <v/>
      </c>
    </row>
    <row r="19" spans="1:18" ht="15" customHeight="1">
      <c r="A19" s="1"/>
      <c r="B19" s="81"/>
      <c r="C19" s="15"/>
      <c r="D19" s="15"/>
      <c r="E19" s="15"/>
      <c r="F19" s="20"/>
      <c r="G19" s="17"/>
      <c r="H19" s="17"/>
      <c r="I19" s="17"/>
      <c r="J19" s="15"/>
      <c r="K19" s="71">
        <f>IF(COUNT(M14:M19)&lt;3,"",HLOOKUP(COUNT(M14:M19),δ!$C$34:$N$36,2,FALSE))</f>
        <v>1.1499999999999999</v>
      </c>
      <c r="L19" s="133"/>
      <c r="M19" s="75" t="str">
        <f>IF(G19&gt;0,ABS(G19-K14)/IF(L17="",L14,L17),"")</f>
        <v/>
      </c>
      <c r="N19" s="102"/>
      <c r="O19" s="103"/>
      <c r="P19" s="96"/>
      <c r="Q19" s="66" t="str">
        <f>IF(P14&lt;1,"",IF(P14&lt;$F$46*3/4,"σBDがFc x 3/4を下回ります。",""))</f>
        <v/>
      </c>
    </row>
    <row r="20" spans="1:18" ht="15" customHeight="1">
      <c r="A20" s="1"/>
      <c r="B20" s="79" t="str">
        <f>IF($D$2&gt;=4,"4","")</f>
        <v>4</v>
      </c>
      <c r="C20" s="12" t="s">
        <v>170</v>
      </c>
      <c r="D20" s="12" t="s">
        <v>159</v>
      </c>
      <c r="E20" s="12">
        <v>78</v>
      </c>
      <c r="F20" s="18">
        <v>2.25</v>
      </c>
      <c r="G20" s="11">
        <v>26</v>
      </c>
      <c r="H20" s="11">
        <v>40.200000000000003</v>
      </c>
      <c r="I20" s="11">
        <v>20.5</v>
      </c>
      <c r="J20" s="9"/>
      <c r="K20" s="104">
        <f>IF(AND(G20="",G21="",G22="",G23="",G24="",G25=""),"",AVERAGE(G20:G25))</f>
        <v>24.5</v>
      </c>
      <c r="L20" s="134">
        <f>IF(G20="","",IF(G21="", IF(K20*$L$45&lt;2.5,2.5, K20*$L$45),IF(G22="",IF(K20*$L$45&lt;2.5,2.5,K20*$L$45),IF(STDEV(G20:G25)&lt;2.5,2.5,STDEV(G20:G25)))))</f>
        <v>2.5</v>
      </c>
      <c r="M20" s="72">
        <f>IF(G20&gt;0,ABS(G20-K20)/IF(L23="",L20,L23),"")</f>
        <v>1.1618950038622251</v>
      </c>
      <c r="N20" s="100">
        <f>IF(K20="","",MIN(K20-L20/2,$M$1,30))</f>
        <v>22.0649625</v>
      </c>
      <c r="O20" s="103">
        <f>IF(K20="","",MIN(K20-L20,$M$2,36))</f>
        <v>22</v>
      </c>
      <c r="P20" s="94">
        <f>IF(K20="","",MAX(N20,O20))</f>
        <v>22.0649625</v>
      </c>
      <c r="Q20" s="66" t="str">
        <f>IF(AND(COUNT(E20:E25)&gt;1,MIN(E20:E25)&lt;100,COUNT(E20:E25)&lt;4),"100mm未満の径のコアの場合には４本以上のコアが必要です。","")</f>
        <v/>
      </c>
    </row>
    <row r="21" spans="1:18" ht="15" customHeight="1">
      <c r="A21" s="1"/>
      <c r="B21" s="80"/>
      <c r="C21" s="12" t="s">
        <v>171</v>
      </c>
      <c r="D21" s="12" t="s">
        <v>159</v>
      </c>
      <c r="E21" s="12">
        <v>55</v>
      </c>
      <c r="F21" s="19">
        <v>2.2999999999999998</v>
      </c>
      <c r="G21" s="14">
        <v>25</v>
      </c>
      <c r="H21" s="14">
        <v>35</v>
      </c>
      <c r="I21" s="14">
        <v>5.8</v>
      </c>
      <c r="J21" s="12"/>
      <c r="K21" s="105"/>
      <c r="L21" s="132"/>
      <c r="M21" s="73">
        <f>IF(G21&gt;0,ABS(G21-K20)/IF(L23="",L20,L23),"")</f>
        <v>0.3872983346207417</v>
      </c>
      <c r="N21" s="101"/>
      <c r="O21" s="103"/>
      <c r="P21" s="95"/>
      <c r="Q21" s="66" t="str">
        <f>IF(AND(COUNT(E20:E25)&gt;1,MIN(E20:E25)&lt;75,COUNT(E20:E25)&lt;5),"75mm未満の径のコアの場合には５本以上のコアが必要です。","")</f>
        <v>75mm未満の径のコアの場合には５本以上のコアが必要です。</v>
      </c>
    </row>
    <row r="22" spans="1:18" ht="15" customHeight="1">
      <c r="A22" s="1"/>
      <c r="B22" s="80"/>
      <c r="C22" s="12" t="s">
        <v>172</v>
      </c>
      <c r="D22" s="12" t="s">
        <v>159</v>
      </c>
      <c r="E22" s="12">
        <v>76</v>
      </c>
      <c r="F22" s="19">
        <v>2.2799999999999998</v>
      </c>
      <c r="G22" s="14">
        <v>24</v>
      </c>
      <c r="H22" s="14">
        <v>23.8</v>
      </c>
      <c r="I22" s="14" t="s">
        <v>179</v>
      </c>
      <c r="J22" s="12"/>
      <c r="K22" s="105"/>
      <c r="L22" s="132"/>
      <c r="M22" s="73">
        <f>IF(G22&gt;0,ABS(G22-K20)/IF(L23="",L20,L23),"")</f>
        <v>0.3872983346207417</v>
      </c>
      <c r="N22" s="101"/>
      <c r="O22" s="103"/>
      <c r="P22" s="95"/>
      <c r="Q22" s="66" t="str">
        <f>IF(MAX(M20:M25)&gt;K25,"棄却検定NGのデータがあります。","")</f>
        <v/>
      </c>
      <c r="R22" s="64"/>
    </row>
    <row r="23" spans="1:18" ht="15" customHeight="1">
      <c r="A23" s="1"/>
      <c r="B23" s="80"/>
      <c r="C23" s="12" t="s">
        <v>173</v>
      </c>
      <c r="D23" s="12" t="s">
        <v>159</v>
      </c>
      <c r="E23" s="12">
        <v>75</v>
      </c>
      <c r="F23" s="19">
        <v>2.2599999999999998</v>
      </c>
      <c r="G23" s="14">
        <v>23</v>
      </c>
      <c r="H23" s="14">
        <v>12.3</v>
      </c>
      <c r="I23" s="14" t="s">
        <v>179</v>
      </c>
      <c r="J23" s="12"/>
      <c r="K23" s="105"/>
      <c r="L23" s="132">
        <f>IF(L20&gt;2.5, "", IF(G21="",K20*$L$45,IF(G22="",K20*$L$45,STDEV(G20:G25))))</f>
        <v>1.2909944487358056</v>
      </c>
      <c r="M23" s="74">
        <f>IF(G23&gt;0,ABS(G23-K20)/IF(L23="",L20,L23),"")</f>
        <v>1.1618950038622251</v>
      </c>
      <c r="N23" s="101"/>
      <c r="O23" s="103"/>
      <c r="P23" s="95"/>
      <c r="Q23" s="66" t="str">
        <f>IF(P20&lt;13.5,"推定強度が13.5N/mm2を下回ります。","")</f>
        <v/>
      </c>
    </row>
    <row r="24" spans="1:18" ht="15" customHeight="1">
      <c r="A24" s="1"/>
      <c r="B24" s="80"/>
      <c r="C24" s="12"/>
      <c r="D24" s="12"/>
      <c r="E24" s="12"/>
      <c r="F24" s="19"/>
      <c r="G24" s="14"/>
      <c r="H24" s="14"/>
      <c r="I24" s="14"/>
      <c r="J24" s="12"/>
      <c r="K24" s="70" t="s">
        <v>180</v>
      </c>
      <c r="L24" s="132"/>
      <c r="M24" s="74" t="str">
        <f>IF(G24&gt;0,ABS(G24-K20)/IF(L23="",L20,L23),"")</f>
        <v/>
      </c>
      <c r="N24" s="101"/>
      <c r="O24" s="103"/>
      <c r="P24" s="95"/>
      <c r="Q24" s="66" t="str">
        <f>IF(K20&lt;13.5,"コア圧縮強度の平均値が13.5N/mm2を下回ります。","")</f>
        <v/>
      </c>
    </row>
    <row r="25" spans="1:18" ht="15" customHeight="1">
      <c r="A25" s="1"/>
      <c r="B25" s="81"/>
      <c r="C25" s="15"/>
      <c r="D25" s="15"/>
      <c r="E25" s="15"/>
      <c r="F25" s="20"/>
      <c r="G25" s="17"/>
      <c r="H25" s="17"/>
      <c r="I25" s="17"/>
      <c r="J25" s="15"/>
      <c r="K25" s="71">
        <f>IF(COUNT(M20:M25)&lt;3,"",HLOOKUP(COUNT(M20:M25),δ!$C$34:$N$36,2,FALSE))</f>
        <v>1.46</v>
      </c>
      <c r="L25" s="133"/>
      <c r="M25" s="75" t="str">
        <f>IF(G25&gt;0,ABS(G25-K20)/IF(L23="",L20,L23),"")</f>
        <v/>
      </c>
      <c r="N25" s="102"/>
      <c r="O25" s="103"/>
      <c r="P25" s="96"/>
      <c r="Q25" s="66" t="str">
        <f>IF(P20&lt;1,"",IF(P20&lt;$F$46*3/4,"σBDがFc x 3/4を下回ります。",""))</f>
        <v/>
      </c>
    </row>
    <row r="26" spans="1:18" ht="15" customHeight="1">
      <c r="A26" s="1"/>
      <c r="B26" s="79" t="str">
        <f>IF($D$2&gt;=3,"3","")</f>
        <v>3</v>
      </c>
      <c r="C26" s="12" t="s">
        <v>167</v>
      </c>
      <c r="D26" s="12" t="s">
        <v>159</v>
      </c>
      <c r="E26" s="12">
        <v>85</v>
      </c>
      <c r="F26" s="18">
        <v>2.2999999999999998</v>
      </c>
      <c r="G26" s="11">
        <v>27</v>
      </c>
      <c r="H26" s="11">
        <v>5.3</v>
      </c>
      <c r="I26" s="11">
        <v>15.3</v>
      </c>
      <c r="J26" s="9"/>
      <c r="K26" s="104">
        <f>IF(AND(G26="",G27="",G28="",G29="",G30="",G31=""),"",AVERAGE(G26:G31))</f>
        <v>30</v>
      </c>
      <c r="L26" s="134">
        <f>IF(G26="","",IF(G27="", IF(K26*$L$45&lt;2.5,2.5, K26*$L$45),IF(G28="",IF(K26*$L$45&lt;2.5,2.5,K26*$L$45),IF(STDEV(G26:G31)&lt;2.5,2.5,STDEV(G26:G31)))))</f>
        <v>3</v>
      </c>
      <c r="M26" s="72">
        <f>IF(G26&gt;0,ABS(G26-K26)/IF(L29="",L26,L29),"")</f>
        <v>1</v>
      </c>
      <c r="N26" s="100">
        <f>IF(K26="","",MIN(K26-L26/2,$M$1,30))</f>
        <v>22.0649625</v>
      </c>
      <c r="O26" s="103">
        <f>IF(K26="","",MIN(K26-L26,$M$2,36))</f>
        <v>26.477954999999998</v>
      </c>
      <c r="P26" s="94">
        <f>IF(K26="","",MAX(N26,O26))</f>
        <v>26.477954999999998</v>
      </c>
      <c r="Q26" s="66" t="str">
        <f>IF(AND(COUNT(E26:E31)&gt;1,MIN(E26:E31)&lt;100,COUNT(E26:E31)&lt;4),"100mm未満の径のコアの場合には４本以上のコアが必要です。","")</f>
        <v>100mm未満の径のコアの場合には４本以上のコアが必要です。</v>
      </c>
    </row>
    <row r="27" spans="1:18" ht="15" customHeight="1">
      <c r="A27" s="1"/>
      <c r="B27" s="80"/>
      <c r="C27" s="12" t="s">
        <v>168</v>
      </c>
      <c r="D27" s="12" t="s">
        <v>159</v>
      </c>
      <c r="E27" s="12">
        <v>102</v>
      </c>
      <c r="F27" s="19">
        <v>2.2999999999999998</v>
      </c>
      <c r="G27" s="14">
        <v>30</v>
      </c>
      <c r="H27" s="14">
        <v>2</v>
      </c>
      <c r="I27" s="14">
        <v>30.9</v>
      </c>
      <c r="J27" s="12"/>
      <c r="K27" s="105"/>
      <c r="L27" s="132"/>
      <c r="M27" s="73">
        <f>IF(G27&gt;0,ABS(G27-K26)/IF(L29="",L26,L29),"")</f>
        <v>0</v>
      </c>
      <c r="N27" s="101"/>
      <c r="O27" s="103"/>
      <c r="P27" s="95"/>
      <c r="Q27" s="66" t="str">
        <f>IF(AND(COUNT(E26:E31)&gt;1,MIN(E26:E31)&lt;75,COUNT(E26:E31)&lt;5),"75mm未満の径のコアの場合には５本以上のコアが必要です。","")</f>
        <v/>
      </c>
    </row>
    <row r="28" spans="1:18" ht="15" customHeight="1">
      <c r="A28" s="1"/>
      <c r="B28" s="80"/>
      <c r="C28" s="12" t="s">
        <v>169</v>
      </c>
      <c r="D28" s="12" t="s">
        <v>159</v>
      </c>
      <c r="E28" s="12">
        <v>102</v>
      </c>
      <c r="F28" s="19">
        <v>2.2999999999999998</v>
      </c>
      <c r="G28" s="14">
        <v>33</v>
      </c>
      <c r="H28" s="14">
        <v>15.6</v>
      </c>
      <c r="I28" s="14" t="s">
        <v>179</v>
      </c>
      <c r="J28" s="12"/>
      <c r="K28" s="105"/>
      <c r="L28" s="132"/>
      <c r="M28" s="73">
        <f>IF(G28&gt;0,ABS(G28-K26)/IF(L29="",L26,L29),"")</f>
        <v>1</v>
      </c>
      <c r="N28" s="101"/>
      <c r="O28" s="103"/>
      <c r="P28" s="95"/>
      <c r="Q28" s="66" t="str">
        <f>IF(MAX(M26:M31)&gt;K31,"棄却検定NGのデータがあります。","")</f>
        <v/>
      </c>
      <c r="R28" s="64"/>
    </row>
    <row r="29" spans="1:18" ht="15" customHeight="1">
      <c r="A29" s="1"/>
      <c r="B29" s="80"/>
      <c r="C29" s="12"/>
      <c r="D29" s="12"/>
      <c r="E29" s="12"/>
      <c r="F29" s="19"/>
      <c r="G29" s="14"/>
      <c r="H29" s="14"/>
      <c r="I29" s="14"/>
      <c r="J29" s="12"/>
      <c r="K29" s="105"/>
      <c r="L29" s="132" t="str">
        <f>IF(L26&gt;2.5, "", IF(G27="",K26*$L$45,IF(G28="",K26*$L$45,STDEV(G26:G31))))</f>
        <v/>
      </c>
      <c r="M29" s="74" t="str">
        <f>IF(G29&gt;0,ABS(G29-K26)/IF(L29="",L26,L29),"")</f>
        <v/>
      </c>
      <c r="N29" s="101"/>
      <c r="O29" s="103"/>
      <c r="P29" s="95"/>
      <c r="Q29" s="66" t="str">
        <f>IF(P26&lt;13.5,"推定強度が13.5N/mm2を下回ります。","")</f>
        <v/>
      </c>
    </row>
    <row r="30" spans="1:18" ht="15" customHeight="1">
      <c r="A30" s="1"/>
      <c r="B30" s="80"/>
      <c r="C30" s="12"/>
      <c r="D30" s="12"/>
      <c r="E30" s="12"/>
      <c r="F30" s="19"/>
      <c r="G30" s="14"/>
      <c r="H30" s="14"/>
      <c r="I30" s="14"/>
      <c r="J30" s="12"/>
      <c r="K30" s="70" t="s">
        <v>180</v>
      </c>
      <c r="L30" s="132"/>
      <c r="M30" s="74" t="str">
        <f>IF(G30&gt;0,ABS(G30-K26)/IF(L29="",L26,L29),"")</f>
        <v/>
      </c>
      <c r="N30" s="101"/>
      <c r="O30" s="103"/>
      <c r="P30" s="95"/>
      <c r="Q30" s="66" t="str">
        <f>IF(K26&lt;13.5,"コア圧縮強度の平均値が13.5N/mm2を下回ります。","")</f>
        <v/>
      </c>
    </row>
    <row r="31" spans="1:18" ht="15" customHeight="1">
      <c r="A31" s="1"/>
      <c r="B31" s="81"/>
      <c r="C31" s="15"/>
      <c r="D31" s="15"/>
      <c r="E31" s="15"/>
      <c r="F31" s="20"/>
      <c r="G31" s="17"/>
      <c r="H31" s="17"/>
      <c r="I31" s="17"/>
      <c r="J31" s="15"/>
      <c r="K31" s="71">
        <f>IF(COUNT(M26:M31)&lt;3,"",HLOOKUP(COUNT(M26:M31),δ!$C$34:$N$36,2,FALSE))</f>
        <v>1.1499999999999999</v>
      </c>
      <c r="L31" s="133"/>
      <c r="M31" s="75" t="str">
        <f>IF(G31&gt;0,ABS(G31-K26)/IF(L29="",L26,L29),"")</f>
        <v/>
      </c>
      <c r="N31" s="102"/>
      <c r="O31" s="103"/>
      <c r="P31" s="96"/>
      <c r="Q31" s="66" t="str">
        <f>IF(P26&lt;1,"",IF(P26&lt;$F$46*3/4,"σBDがFc x 3/4を下回ります。",""))</f>
        <v/>
      </c>
    </row>
    <row r="32" spans="1:18" ht="15" customHeight="1">
      <c r="A32" s="1"/>
      <c r="B32" s="79" t="str">
        <f>IF($D$2&gt;=2,"2","")</f>
        <v>2</v>
      </c>
      <c r="C32" s="12" t="s">
        <v>163</v>
      </c>
      <c r="D32" s="12" t="s">
        <v>159</v>
      </c>
      <c r="E32" s="12">
        <v>85</v>
      </c>
      <c r="F32" s="18">
        <v>2.2999999999999998</v>
      </c>
      <c r="G32" s="11">
        <v>18</v>
      </c>
      <c r="H32" s="11">
        <v>5</v>
      </c>
      <c r="I32" s="11" t="s">
        <v>179</v>
      </c>
      <c r="J32" s="9"/>
      <c r="K32" s="104">
        <f>IF(AND(G32="",G33="",G34="",G35="",G36="",G37=""),"",AVERAGE(G32:G37))</f>
        <v>20.375</v>
      </c>
      <c r="L32" s="134">
        <f>IF(G32="","",IF(G33="", IF(K32*$L$45&lt;2.5,2.5, K32*$L$45),IF(G34="",IF(K32*$L$45&lt;2.5,2.5,K32*$L$45),IF(STDEV(G32:G37)&lt;2.5,2.5,STDEV(G32:G37)))))</f>
        <v>4.4604745636908785</v>
      </c>
      <c r="M32" s="72">
        <f>IF(G32&gt;0,ABS(G32-K32)/IF(L35="",L32,L35),"")</f>
        <v>0.53245455524686924</v>
      </c>
      <c r="N32" s="100">
        <f>IF(K32="","",MIN(K32-L32/2,$M$1,30))</f>
        <v>18.14476271815456</v>
      </c>
      <c r="O32" s="103">
        <f>IF(K32="","",MIN(K32-L32,$M$2,36))</f>
        <v>15.914525436309122</v>
      </c>
      <c r="P32" s="94">
        <f>IF(K32="","",MAX(N32,O32))</f>
        <v>18.14476271815456</v>
      </c>
      <c r="Q32" s="66" t="str">
        <f>IF(AND(COUNT(E32:E37)&gt;1,MIN(E32:E37)&lt;100,COUNT(E32:E37)&lt;4),"100mm未満の径のコアの場合には４本以上のコアが必要です。","")</f>
        <v/>
      </c>
    </row>
    <row r="33" spans="1:18" ht="15" customHeight="1">
      <c r="A33" s="1"/>
      <c r="B33" s="80"/>
      <c r="C33" s="12" t="s">
        <v>164</v>
      </c>
      <c r="D33" s="12" t="s">
        <v>159</v>
      </c>
      <c r="E33" s="12">
        <v>86</v>
      </c>
      <c r="F33" s="19">
        <v>2.2999999999999998</v>
      </c>
      <c r="G33" s="14">
        <v>19</v>
      </c>
      <c r="H33" s="14">
        <v>6</v>
      </c>
      <c r="I33" s="14" t="s">
        <v>179</v>
      </c>
      <c r="J33" s="12"/>
      <c r="K33" s="105"/>
      <c r="L33" s="132"/>
      <c r="M33" s="73">
        <f>IF(G33&gt;0,ABS(G33-K32)/IF(L35="",L32,L35),"")</f>
        <v>0.30826316356397693</v>
      </c>
      <c r="N33" s="101"/>
      <c r="O33" s="103"/>
      <c r="P33" s="95"/>
      <c r="Q33" s="66" t="str">
        <f>IF(AND(COUNT(E32:E37)&gt;1,MIN(E32:E37)&lt;75,COUNT(E32:E37)&lt;5),"75mm未満の径のコアの場合には５本以上のコアが必要です。","")</f>
        <v/>
      </c>
    </row>
    <row r="34" spans="1:18" ht="15" customHeight="1">
      <c r="A34" s="1"/>
      <c r="B34" s="80"/>
      <c r="C34" s="12" t="s">
        <v>165</v>
      </c>
      <c r="D34" s="12" t="s">
        <v>159</v>
      </c>
      <c r="E34" s="12">
        <v>82</v>
      </c>
      <c r="F34" s="19">
        <v>2.2999999999999998</v>
      </c>
      <c r="G34" s="14">
        <v>27</v>
      </c>
      <c r="H34" s="14">
        <v>7</v>
      </c>
      <c r="I34" s="14">
        <v>1</v>
      </c>
      <c r="J34" s="12"/>
      <c r="K34" s="105"/>
      <c r="L34" s="132"/>
      <c r="M34" s="73">
        <f>IF(G34&gt;0,ABS(G34-K32)/IF(L35="",L32,L35),"")</f>
        <v>1.4852679698991618</v>
      </c>
      <c r="N34" s="101"/>
      <c r="O34" s="103"/>
      <c r="P34" s="95"/>
      <c r="Q34" s="66" t="str">
        <f>IF(MAX(M32:M37)&gt;K37,"棄却検定NGのデータがあります。","")</f>
        <v>棄却検定NGのデータがあります。</v>
      </c>
      <c r="R34" s="64"/>
    </row>
    <row r="35" spans="1:18" ht="15" customHeight="1">
      <c r="A35" s="1"/>
      <c r="B35" s="80"/>
      <c r="C35" s="12" t="s">
        <v>166</v>
      </c>
      <c r="D35" s="12" t="s">
        <v>159</v>
      </c>
      <c r="E35" s="12">
        <v>88</v>
      </c>
      <c r="F35" s="19">
        <v>2.2999999999999998</v>
      </c>
      <c r="G35" s="14">
        <v>17.5</v>
      </c>
      <c r="H35" s="14">
        <v>8</v>
      </c>
      <c r="I35" s="14">
        <v>24</v>
      </c>
      <c r="J35" s="12"/>
      <c r="K35" s="105"/>
      <c r="L35" s="132" t="str">
        <f>IF(L32&gt;2.5, "", IF(G33="",K32*$L$45,IF(G34="",K32*$L$45,STDEV(G32:G37))))</f>
        <v/>
      </c>
      <c r="M35" s="74">
        <f>IF(G35&gt;0,ABS(G35-K32)/IF(L35="",L32,L35),"")</f>
        <v>0.64455025108831543</v>
      </c>
      <c r="N35" s="101"/>
      <c r="O35" s="103"/>
      <c r="P35" s="95"/>
      <c r="Q35" s="66" t="str">
        <f>IF(P32&lt;13.5,"推定強度が13.5N/mm2を下回ります。","")</f>
        <v/>
      </c>
    </row>
    <row r="36" spans="1:18" ht="15" customHeight="1">
      <c r="A36" s="1"/>
      <c r="B36" s="80"/>
      <c r="C36" s="12"/>
      <c r="D36" s="12"/>
      <c r="E36" s="12"/>
      <c r="F36" s="19"/>
      <c r="G36" s="14"/>
      <c r="H36" s="14"/>
      <c r="I36" s="14"/>
      <c r="J36" s="12"/>
      <c r="K36" s="70" t="s">
        <v>180</v>
      </c>
      <c r="L36" s="132"/>
      <c r="M36" s="74" t="str">
        <f>IF(G36&gt;0,ABS(G36-K32)/IF(L35="",L32,L35),"")</f>
        <v/>
      </c>
      <c r="N36" s="101"/>
      <c r="O36" s="103"/>
      <c r="P36" s="95"/>
      <c r="Q36" s="66" t="str">
        <f>IF(K32&lt;13.5,"コア圧縮強度の平均値が13.5N/mm2を下回ります。","")</f>
        <v/>
      </c>
    </row>
    <row r="37" spans="1:18" ht="15" customHeight="1">
      <c r="A37" s="1"/>
      <c r="B37" s="81"/>
      <c r="C37" s="15"/>
      <c r="D37" s="15"/>
      <c r="E37" s="15"/>
      <c r="F37" s="20"/>
      <c r="G37" s="17"/>
      <c r="H37" s="17"/>
      <c r="I37" s="17"/>
      <c r="J37" s="15"/>
      <c r="K37" s="71">
        <f>IF(COUNT(M32:M37)&lt;3,"",HLOOKUP(COUNT(M32:M37),δ!$C$34:$N$36,2,FALSE))</f>
        <v>1.46</v>
      </c>
      <c r="L37" s="133"/>
      <c r="M37" s="75" t="str">
        <f>IF(G37&gt;0,ABS(G37-K32)/IF(L35="",L32,L35),"")</f>
        <v/>
      </c>
      <c r="N37" s="102"/>
      <c r="O37" s="103"/>
      <c r="P37" s="96"/>
      <c r="Q37" s="66" t="str">
        <f>IF(P32&lt;1,"",IF(P32&lt;$F$46*3/4,"σBDがFc x 3/4を下回ります。",""))</f>
        <v/>
      </c>
    </row>
    <row r="38" spans="1:18" ht="15" customHeight="1">
      <c r="A38" s="1"/>
      <c r="B38" s="79" t="str">
        <f>IF($D$2&gt;=1,"1","")</f>
        <v>1</v>
      </c>
      <c r="C38" s="12" t="s">
        <v>160</v>
      </c>
      <c r="D38" s="12" t="s">
        <v>15</v>
      </c>
      <c r="E38" s="12">
        <v>101</v>
      </c>
      <c r="F38" s="18">
        <v>2.33</v>
      </c>
      <c r="G38" s="14">
        <v>18</v>
      </c>
      <c r="H38" s="14">
        <v>3.9</v>
      </c>
      <c r="I38" s="14" t="s">
        <v>179</v>
      </c>
      <c r="J38" s="9"/>
      <c r="K38" s="104">
        <f>IF(AND(G38="",G39="",G40="",G41="",G42="",G43=""),"",AVERAGE(G38:G43))</f>
        <v>13.666666666666666</v>
      </c>
      <c r="L38" s="134">
        <f>IF(G38="","",IF(G39="", IF(K38*$L$45&lt;2.5,2.5, K38*$L$45),IF(G40="",IF(K38*$L$45&lt;2.5,2.5,K38*$L$45),IF(STDEV(G38:G43)&lt;2.5,2.5,STDEV(G38:G43)))))</f>
        <v>4.0414518843273779</v>
      </c>
      <c r="M38" s="72">
        <f>IF(G38&gt;0,ABS(G38-K38)/IF(L41="",L38,L41),"")</f>
        <v>1.0722219284950201</v>
      </c>
      <c r="N38" s="100">
        <f>IF(K38="","",MIN(K38-L38/2,$M$1,30))</f>
        <v>11.645940724502978</v>
      </c>
      <c r="O38" s="103">
        <f>IF(K38="","",MIN(K38-L38,$M$2,36))</f>
        <v>9.6252147823392882</v>
      </c>
      <c r="P38" s="94">
        <f>IF(K38="","",MAX(N38,O38))</f>
        <v>11.645940724502978</v>
      </c>
      <c r="Q38" s="66" t="str">
        <f>IF(AND(COUNT(E38:E43)&gt;1,MIN(E38:E43)&lt;100,COUNT(E38:E43)&lt;4),"100mm未満の径のコアの場合には４本以上のコアが必要です。","")</f>
        <v/>
      </c>
    </row>
    <row r="39" spans="1:18" ht="15" customHeight="1">
      <c r="A39" s="1"/>
      <c r="B39" s="80"/>
      <c r="C39" s="12" t="s">
        <v>161</v>
      </c>
      <c r="D39" s="12" t="s">
        <v>15</v>
      </c>
      <c r="E39" s="12">
        <v>103</v>
      </c>
      <c r="F39" s="19">
        <v>2.25</v>
      </c>
      <c r="G39" s="14">
        <v>13</v>
      </c>
      <c r="H39" s="14">
        <v>26.8</v>
      </c>
      <c r="I39" s="14" t="s">
        <v>179</v>
      </c>
      <c r="J39" s="12"/>
      <c r="K39" s="105"/>
      <c r="L39" s="132"/>
      <c r="M39" s="73">
        <f>IF(G39&gt;0,ABS(G39-K38)/IF(L41="",L38,L41),"")</f>
        <v>0.16495721976846445</v>
      </c>
      <c r="N39" s="101"/>
      <c r="O39" s="103"/>
      <c r="P39" s="95"/>
      <c r="Q39" s="66" t="str">
        <f>IF(AND(COUNT(E38:E43)&gt;1,MIN(E38:E43)&lt;75,COUNT(E38:E43)&lt;5),"75mm未満の径のコアの場合には５本以上のコアが必要です。","")</f>
        <v/>
      </c>
    </row>
    <row r="40" spans="1:18" ht="15" customHeight="1">
      <c r="A40" s="1"/>
      <c r="B40" s="80"/>
      <c r="C40" s="12" t="s">
        <v>162</v>
      </c>
      <c r="D40" s="12" t="s">
        <v>15</v>
      </c>
      <c r="E40" s="12">
        <v>105</v>
      </c>
      <c r="F40" s="19">
        <v>2.21</v>
      </c>
      <c r="G40" s="14">
        <v>10</v>
      </c>
      <c r="H40" s="14">
        <v>4.5999999999999996</v>
      </c>
      <c r="I40" s="14" t="s">
        <v>179</v>
      </c>
      <c r="J40" s="12"/>
      <c r="K40" s="105"/>
      <c r="L40" s="132"/>
      <c r="M40" s="73">
        <f>IF(G40&gt;0,ABS(G40-K38)/IF(L41="",L38,L41),"")</f>
        <v>0.90726470872655518</v>
      </c>
      <c r="N40" s="101"/>
      <c r="O40" s="103"/>
      <c r="P40" s="95"/>
      <c r="Q40" s="66" t="str">
        <f>IF(MAX(M38:M43)&gt;K43,"棄却検定NGのデータがあります。","")</f>
        <v/>
      </c>
      <c r="R40" s="64"/>
    </row>
    <row r="41" spans="1:18" ht="15" customHeight="1">
      <c r="A41" s="1"/>
      <c r="B41" s="80"/>
      <c r="C41" s="12"/>
      <c r="D41" s="12"/>
      <c r="E41" s="12"/>
      <c r="F41" s="13"/>
      <c r="G41" s="14"/>
      <c r="H41" s="14"/>
      <c r="I41" s="14"/>
      <c r="J41" s="12"/>
      <c r="K41" s="105"/>
      <c r="L41" s="132" t="str">
        <f>IF(L38&gt;2.5, "", IF(G39="",K38*$L$45,IF(G40="",K38*$L$45,STDEV(G38:G43))))</f>
        <v/>
      </c>
      <c r="M41" s="74" t="str">
        <f>IF(G41&gt;0,ABS(G41-K38)/IF(L41="",L38,L41),"")</f>
        <v/>
      </c>
      <c r="N41" s="101"/>
      <c r="O41" s="103"/>
      <c r="P41" s="95"/>
      <c r="Q41" s="66" t="str">
        <f>IF(P38&lt;13.5,"推定強度が13.5N/mm2を下回ります。","")</f>
        <v>推定強度が13.5N/mm2を下回ります。</v>
      </c>
    </row>
    <row r="42" spans="1:18" ht="15" customHeight="1">
      <c r="A42" s="1"/>
      <c r="B42" s="80"/>
      <c r="C42" s="12"/>
      <c r="D42" s="12"/>
      <c r="E42" s="12"/>
      <c r="F42" s="13"/>
      <c r="G42" s="14"/>
      <c r="H42" s="14"/>
      <c r="I42" s="14"/>
      <c r="J42" s="12"/>
      <c r="K42" s="70" t="s">
        <v>180</v>
      </c>
      <c r="L42" s="132"/>
      <c r="M42" s="74" t="str">
        <f>IF(G42&gt;0,ABS(G42-K38)/IF(L41="",L38,L41),"")</f>
        <v/>
      </c>
      <c r="N42" s="101"/>
      <c r="O42" s="103"/>
      <c r="P42" s="95"/>
      <c r="Q42" s="66" t="str">
        <f>IF(K38&lt;13.5,"コア圧縮強度の平均値が13.5N/mm2を下回ります。","")</f>
        <v/>
      </c>
    </row>
    <row r="43" spans="1:18" ht="15" customHeight="1">
      <c r="A43" s="1"/>
      <c r="B43" s="81"/>
      <c r="C43" s="12"/>
      <c r="D43" s="12"/>
      <c r="E43" s="12"/>
      <c r="F43" s="16"/>
      <c r="G43" s="17"/>
      <c r="H43" s="17"/>
      <c r="I43" s="17"/>
      <c r="J43" s="15"/>
      <c r="K43" s="71">
        <f>IF(COUNT(M38:M43)&lt;3,"",HLOOKUP(COUNT(M38:M43),δ!$C$34:$N$36,2,FALSE))</f>
        <v>1.1499999999999999</v>
      </c>
      <c r="L43" s="133"/>
      <c r="M43" s="75" t="str">
        <f>IF(G43&gt;0,ABS(G43-K38)/IF(L41="",L38,L41),"")</f>
        <v/>
      </c>
      <c r="N43" s="102"/>
      <c r="O43" s="103"/>
      <c r="P43" s="96"/>
      <c r="Q43" s="66" t="str">
        <f>IF(P38&lt;1,"",IF(P38&lt;$F$46*3/4,"σBDがFc x 3/4を下回ります。",""))</f>
        <v>σBDがFc x 3/4を下回ります。</v>
      </c>
    </row>
    <row r="44" spans="1:18" ht="15" customHeight="1">
      <c r="A44" s="1"/>
      <c r="B44" s="21"/>
      <c r="C44" s="120" t="s">
        <v>16</v>
      </c>
      <c r="D44" s="120"/>
      <c r="E44" s="120"/>
      <c r="F44" s="120"/>
      <c r="G44" s="120"/>
      <c r="H44" s="120"/>
      <c r="I44" s="120"/>
      <c r="J44" s="121"/>
      <c r="K44" s="22">
        <f>IF(SUM(K8:K43)=0,"",AVERAGE(K14:K43))</f>
        <v>11.357833333333335</v>
      </c>
      <c r="L44" s="76">
        <f>IF(SUM(L8,L14,L20,L26,L32,L38)=0,"",AVERAGE(L8,L14,L20,L26,L32,L38))</f>
        <v>3.3003852896036512</v>
      </c>
      <c r="M44" s="63"/>
      <c r="N44" s="63">
        <f>IF(OR(K44="",L44=""),"",K44-L44/2)</f>
        <v>9.7076406885315105</v>
      </c>
      <c r="O44" s="24"/>
      <c r="P44" s="22">
        <f>IF(SUM(P8:P43)=0,"",AVERAGE(P8:P43))</f>
        <v>19.150057521864838</v>
      </c>
    </row>
    <row r="45" spans="1:18" ht="15" customHeight="1">
      <c r="A45" s="1"/>
      <c r="B45" s="111" t="s">
        <v>17</v>
      </c>
      <c r="C45" s="112"/>
      <c r="D45" s="112"/>
      <c r="E45" s="112"/>
      <c r="F45" s="25">
        <v>100</v>
      </c>
      <c r="G45" s="59" t="s">
        <v>18</v>
      </c>
      <c r="H45" s="122">
        <v>200</v>
      </c>
      <c r="I45" s="122"/>
      <c r="J45" s="27" t="s">
        <v>19</v>
      </c>
      <c r="K45" s="67" t="s">
        <v>20</v>
      </c>
      <c r="L45" s="29">
        <f>IF(δ!I4="該当なし（下段に直接入力）",IF(δ!I5="","",δ!I5),δ!I4)</f>
        <v>0.14599999999999999</v>
      </c>
      <c r="M45" s="29"/>
      <c r="N45" s="123" t="s">
        <v>21</v>
      </c>
      <c r="O45" s="123"/>
      <c r="P45" s="124"/>
    </row>
    <row r="46" spans="1:18" ht="15" customHeight="1">
      <c r="A46" s="1"/>
      <c r="B46" s="111" t="s">
        <v>22</v>
      </c>
      <c r="C46" s="112"/>
      <c r="D46" s="112"/>
      <c r="E46" s="112"/>
      <c r="F46" s="51">
        <f>H46*0.0980665</f>
        <v>17.651969999999999</v>
      </c>
      <c r="G46" s="52" t="s">
        <v>23</v>
      </c>
      <c r="H46" s="125">
        <v>180</v>
      </c>
      <c r="I46" s="126"/>
      <c r="J46" s="30" t="s">
        <v>152</v>
      </c>
      <c r="K46" s="127" t="s">
        <v>24</v>
      </c>
      <c r="L46" s="128"/>
      <c r="M46" s="47">
        <f>IF(OR(K44="",L45=""),"",K44*L45)</f>
        <v>1.6582436666666669</v>
      </c>
      <c r="N46" s="31" t="s">
        <v>25</v>
      </c>
      <c r="P46" s="32"/>
    </row>
    <row r="47" spans="1:18" ht="15" customHeight="1">
      <c r="A47" s="1"/>
      <c r="B47" s="111" t="s">
        <v>26</v>
      </c>
      <c r="C47" s="112"/>
      <c r="D47" s="112"/>
      <c r="E47" s="129" t="s">
        <v>151</v>
      </c>
      <c r="F47" s="129"/>
      <c r="G47" s="130"/>
      <c r="H47" s="131"/>
      <c r="I47" s="131"/>
      <c r="J47" s="65"/>
      <c r="K47" s="113" t="s">
        <v>27</v>
      </c>
      <c r="L47" s="114"/>
      <c r="M47" s="114"/>
      <c r="N47" s="114"/>
      <c r="O47" s="114"/>
      <c r="P47" s="115"/>
    </row>
    <row r="48" spans="1:18" ht="15" customHeight="1">
      <c r="A48" s="1"/>
      <c r="B48" s="116" t="s">
        <v>28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  <c r="Q48" s="3" t="s">
        <v>185</v>
      </c>
    </row>
    <row r="49" spans="1:22" ht="15" customHeight="1">
      <c r="A49" s="1"/>
      <c r="B49" s="117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7"/>
      <c r="Q49" s="183" t="s">
        <v>186</v>
      </c>
      <c r="R49" s="184"/>
      <c r="S49" s="184"/>
      <c r="T49" s="184"/>
      <c r="U49" s="184"/>
      <c r="V49" s="184"/>
    </row>
    <row r="50" spans="1:22" ht="15" customHeight="1">
      <c r="A50" s="1"/>
      <c r="B50" s="117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7"/>
      <c r="Q50" s="183"/>
      <c r="R50" s="184"/>
      <c r="S50" s="184"/>
      <c r="T50" s="184"/>
      <c r="U50" s="184"/>
      <c r="V50" s="184"/>
    </row>
    <row r="51" spans="1:22" ht="15" customHeight="1">
      <c r="A51" s="1"/>
      <c r="B51" s="113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</row>
    <row r="52" spans="1:22" ht="15" customHeight="1">
      <c r="A52" s="1"/>
      <c r="B52" s="1"/>
      <c r="C52" s="1"/>
      <c r="D52" s="1"/>
      <c r="E52" s="1"/>
      <c r="F52" s="1"/>
      <c r="G52" s="33"/>
      <c r="H52" s="33"/>
      <c r="I52" s="33"/>
      <c r="J52" s="1"/>
      <c r="K52" s="1"/>
      <c r="L52" s="1"/>
      <c r="M52" s="1"/>
      <c r="N52" s="1"/>
      <c r="O52" s="1"/>
      <c r="P52" s="1"/>
    </row>
    <row r="53" spans="1:22" ht="15" customHeight="1">
      <c r="G53" s="34"/>
      <c r="H53" s="34"/>
      <c r="I53" s="34"/>
    </row>
    <row r="54" spans="1:22" ht="15" customHeight="1">
      <c r="C54" s="35"/>
      <c r="D54" s="35"/>
      <c r="E54" s="35"/>
      <c r="G54" s="35"/>
      <c r="H54" s="35"/>
      <c r="I54" s="35"/>
    </row>
    <row r="55" spans="1:22" ht="15" customHeight="1">
      <c r="C55" s="34"/>
      <c r="D55" s="34"/>
      <c r="E55" s="34"/>
      <c r="G55" s="35"/>
      <c r="H55" s="35"/>
      <c r="I55" s="35"/>
    </row>
    <row r="56" spans="1:22" ht="15" customHeight="1">
      <c r="G56" s="34"/>
      <c r="H56" s="34"/>
      <c r="I56" s="34"/>
    </row>
  </sheetData>
  <mergeCells count="75">
    <mergeCell ref="Q49:V50"/>
    <mergeCell ref="D2:E2"/>
    <mergeCell ref="B3:P3"/>
    <mergeCell ref="B4:B7"/>
    <mergeCell ref="C4:C7"/>
    <mergeCell ref="D4:D7"/>
    <mergeCell ref="E4:E6"/>
    <mergeCell ref="F4:F6"/>
    <mergeCell ref="G4:G6"/>
    <mergeCell ref="H4:I6"/>
    <mergeCell ref="J4:J6"/>
    <mergeCell ref="K4:K6"/>
    <mergeCell ref="L4:L6"/>
    <mergeCell ref="M4:M6"/>
    <mergeCell ref="N4:O5"/>
    <mergeCell ref="P4:P6"/>
    <mergeCell ref="B2:C2"/>
    <mergeCell ref="P8:P13"/>
    <mergeCell ref="L11:L13"/>
    <mergeCell ref="B14:B19"/>
    <mergeCell ref="K14:K17"/>
    <mergeCell ref="L14:L16"/>
    <mergeCell ref="N14:N19"/>
    <mergeCell ref="O14:O19"/>
    <mergeCell ref="P14:P19"/>
    <mergeCell ref="L17:L19"/>
    <mergeCell ref="B8:B13"/>
    <mergeCell ref="K8:K11"/>
    <mergeCell ref="L8:L10"/>
    <mergeCell ref="N8:N13"/>
    <mergeCell ref="O8:O13"/>
    <mergeCell ref="P26:P31"/>
    <mergeCell ref="L29:L31"/>
    <mergeCell ref="B20:B25"/>
    <mergeCell ref="K20:K23"/>
    <mergeCell ref="L20:L22"/>
    <mergeCell ref="N20:N25"/>
    <mergeCell ref="O20:O25"/>
    <mergeCell ref="P20:P25"/>
    <mergeCell ref="L23:L25"/>
    <mergeCell ref="B26:B31"/>
    <mergeCell ref="K26:K29"/>
    <mergeCell ref="L26:L28"/>
    <mergeCell ref="N26:N31"/>
    <mergeCell ref="O26:O31"/>
    <mergeCell ref="P38:P43"/>
    <mergeCell ref="L41:L43"/>
    <mergeCell ref="B32:B37"/>
    <mergeCell ref="K32:K35"/>
    <mergeCell ref="L32:L34"/>
    <mergeCell ref="N32:N37"/>
    <mergeCell ref="O32:O37"/>
    <mergeCell ref="P32:P37"/>
    <mergeCell ref="L35:L37"/>
    <mergeCell ref="B38:B43"/>
    <mergeCell ref="K38:K41"/>
    <mergeCell ref="L38:L40"/>
    <mergeCell ref="N38:N43"/>
    <mergeCell ref="O38:O43"/>
    <mergeCell ref="C44:J44"/>
    <mergeCell ref="B45:E45"/>
    <mergeCell ref="H45:I45"/>
    <mergeCell ref="N45:P45"/>
    <mergeCell ref="B46:E46"/>
    <mergeCell ref="H46:I46"/>
    <mergeCell ref="K46:L46"/>
    <mergeCell ref="B47:D47"/>
    <mergeCell ref="E47:F47"/>
    <mergeCell ref="G47:I47"/>
    <mergeCell ref="K47:P47"/>
    <mergeCell ref="B48:B51"/>
    <mergeCell ref="C48:P48"/>
    <mergeCell ref="C49:P49"/>
    <mergeCell ref="C50:P50"/>
    <mergeCell ref="C51:P51"/>
  </mergeCells>
  <phoneticPr fontId="2"/>
  <dataValidations count="2">
    <dataValidation allowBlank="1" showInputMessage="1" showErrorMessage="1" promptTitle="**圧縮強度平均値**" prompt="〈記号〉：Xm平均値" sqref="K38 K32 K26 K14 K20 K8" xr:uid="{688ECCB2-1ADA-41C4-81AD-7E97A55955BC}"/>
    <dataValidation operator="greaterThan" allowBlank="1" showInputMessage="1" showErrorMessage="1" errorTitle="ERROW !!" error="入力値が不適切です" promptTitle="*** 供試体基本寸法 ***" prompt="&lt;記号&gt; φ：直径 × h：高さ" sqref="H45:I45 F45" xr:uid="{8A0DFD0E-1F8C-4702-9ECE-278BC9785B03}"/>
  </dataValidations>
  <pageMargins left="0.59055118110236227" right="0.59055118110236227" top="0.59055118110236227" bottom="0.59055118110236227" header="0.31496062992125984" footer="0.31496062992125984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6"/>
  <sheetViews>
    <sheetView workbookViewId="0">
      <selection activeCell="I38" sqref="I38"/>
    </sheetView>
  </sheetViews>
  <sheetFormatPr defaultColWidth="7.09765625" defaultRowHeight="20" customHeight="1"/>
  <cols>
    <col min="1" max="16384" width="7.09765625" style="36"/>
  </cols>
  <sheetData>
    <row r="2" spans="1:14" ht="20" customHeight="1">
      <c r="A2" s="3" t="s">
        <v>32</v>
      </c>
    </row>
    <row r="3" spans="1:14" ht="20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4"/>
    </row>
    <row r="4" spans="1:14" ht="20" customHeight="1">
      <c r="A4" s="148" t="s">
        <v>33</v>
      </c>
      <c r="B4" s="148"/>
      <c r="C4" s="38">
        <v>17.7</v>
      </c>
      <c r="D4" s="39" t="s">
        <v>34</v>
      </c>
      <c r="E4" s="40">
        <v>180</v>
      </c>
      <c r="F4" s="41" t="s">
        <v>35</v>
      </c>
      <c r="G4" s="149" t="s">
        <v>36</v>
      </c>
      <c r="H4" s="150"/>
      <c r="I4" s="151">
        <f>IF(E5&lt;=1960,IF(OR(E4=130,E4=135),0.364,IF(E4=150,0.309,IF(OR(E4=170,E4=180),0.25,"該当なし（下段に直接入力）"))),IF(E5&lt;=1965,IF(OR(E4=130,E4=135),0.311,IF(E4=150,0.268,IF(OR(E4=170,E4=180),0.269,IF(E4=210,0.233,"該当なし（下段に直接入力）")))),IF(E5&lt;=1970,IF(E4=150,0.234,IF(OR(E4=170,E4=180),0.205,IF(E4=210,0.165,"該当なし（下段に直接入力）"))),IF(E5&lt;=1975,IF(OR(E4=130,E4=135),0.202,IF(E4=150,0.235,IF(OR(E4=170,E4=180),0.191,IF(E4=210,0.189,  "該当なし（下段に直接入力）")))),IF(E5&lt;=1980,IF(OR(E4=170,E4=180),0.146,IF(E4=210,0.155,IF(E4=240,0.166,"該当なし（下段に直接入力）"))),IF(E5&gt;=1981,IF(E4=210,0.157,"該当なし（下段に直接入力）")))))))</f>
        <v>0.14599999999999999</v>
      </c>
      <c r="J4" s="152"/>
      <c r="K4" s="153"/>
      <c r="L4" s="55"/>
    </row>
    <row r="5" spans="1:14" ht="20" customHeight="1">
      <c r="A5" s="148" t="s">
        <v>37</v>
      </c>
      <c r="B5" s="148"/>
      <c r="C5" s="154" t="s">
        <v>38</v>
      </c>
      <c r="D5" s="155"/>
      <c r="E5" s="42">
        <v>1978</v>
      </c>
      <c r="F5" s="43" t="s">
        <v>39</v>
      </c>
      <c r="G5" s="149" t="str">
        <f>IF(I4="該当なし（下段に直接入力）","δ入力","")</f>
        <v/>
      </c>
      <c r="H5" s="156"/>
      <c r="I5" s="157"/>
      <c r="J5" s="158"/>
      <c r="K5" s="158"/>
      <c r="L5" s="56"/>
      <c r="M5" s="44"/>
      <c r="N5" s="44"/>
    </row>
    <row r="6" spans="1:14" ht="20" customHeight="1">
      <c r="K6" s="44"/>
      <c r="L6" s="44"/>
    </row>
    <row r="7" spans="1:14" ht="20" customHeight="1">
      <c r="A7" s="167" t="s">
        <v>40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45"/>
    </row>
    <row r="9" spans="1:14" ht="20" customHeight="1">
      <c r="A9" s="161" t="s">
        <v>41</v>
      </c>
      <c r="B9" s="161"/>
      <c r="C9" s="144" t="s">
        <v>42</v>
      </c>
      <c r="D9" s="145"/>
      <c r="E9" s="144">
        <v>14.7</v>
      </c>
      <c r="F9" s="145"/>
      <c r="G9" s="144" t="s">
        <v>43</v>
      </c>
      <c r="H9" s="145"/>
      <c r="I9" s="144">
        <v>20.6</v>
      </c>
      <c r="J9" s="145"/>
      <c r="K9" s="144" t="s">
        <v>44</v>
      </c>
      <c r="L9" s="145"/>
      <c r="M9" s="143" t="s">
        <v>45</v>
      </c>
      <c r="N9" s="140"/>
    </row>
    <row r="10" spans="1:14" ht="20" customHeight="1">
      <c r="A10" s="168" t="s">
        <v>46</v>
      </c>
      <c r="B10" s="168"/>
      <c r="C10" s="169" t="s">
        <v>47</v>
      </c>
      <c r="D10" s="170"/>
      <c r="E10" s="146" t="s">
        <v>48</v>
      </c>
      <c r="F10" s="147"/>
      <c r="G10" s="146" t="s">
        <v>49</v>
      </c>
      <c r="H10" s="147"/>
      <c r="I10" s="146" t="s">
        <v>50</v>
      </c>
      <c r="J10" s="147"/>
      <c r="K10" s="146" t="s">
        <v>51</v>
      </c>
      <c r="L10" s="147"/>
      <c r="M10" s="135" t="s">
        <v>52</v>
      </c>
      <c r="N10" s="136"/>
    </row>
    <row r="11" spans="1:14" ht="20" customHeight="1">
      <c r="A11" s="161" t="s">
        <v>53</v>
      </c>
      <c r="B11" s="161"/>
      <c r="C11" s="143" t="s">
        <v>54</v>
      </c>
      <c r="D11" s="140"/>
      <c r="E11" s="162" t="s">
        <v>55</v>
      </c>
      <c r="F11" s="163"/>
      <c r="G11" s="143" t="s">
        <v>56</v>
      </c>
      <c r="H11" s="140"/>
      <c r="I11" s="143"/>
      <c r="J11" s="140"/>
      <c r="K11" s="143"/>
      <c r="L11" s="140"/>
      <c r="M11" s="143" t="s">
        <v>57</v>
      </c>
      <c r="N11" s="140"/>
    </row>
    <row r="12" spans="1:14" ht="20" customHeight="1">
      <c r="A12" s="164" t="s">
        <v>58</v>
      </c>
      <c r="B12" s="164"/>
      <c r="C12" s="135" t="s">
        <v>59</v>
      </c>
      <c r="D12" s="136"/>
      <c r="E12" s="165" t="s">
        <v>60</v>
      </c>
      <c r="F12" s="166"/>
      <c r="G12" s="135" t="s">
        <v>61</v>
      </c>
      <c r="H12" s="136"/>
      <c r="I12" s="135"/>
      <c r="J12" s="136"/>
      <c r="K12" s="135"/>
      <c r="L12" s="136"/>
      <c r="M12" s="135" t="s">
        <v>62</v>
      </c>
      <c r="N12" s="136"/>
    </row>
    <row r="13" spans="1:14" ht="20" customHeight="1">
      <c r="A13" s="168" t="s">
        <v>63</v>
      </c>
      <c r="B13" s="168"/>
      <c r="C13" s="135" t="s">
        <v>64</v>
      </c>
      <c r="D13" s="136"/>
      <c r="E13" s="165" t="s">
        <v>65</v>
      </c>
      <c r="F13" s="166"/>
      <c r="G13" s="135" t="s">
        <v>66</v>
      </c>
      <c r="H13" s="136"/>
      <c r="I13" s="137"/>
      <c r="J13" s="138"/>
      <c r="K13" s="137"/>
      <c r="L13" s="138"/>
      <c r="M13" s="135" t="s">
        <v>67</v>
      </c>
      <c r="N13" s="136"/>
    </row>
    <row r="14" spans="1:14" ht="20" customHeight="1">
      <c r="A14" s="161" t="s">
        <v>68</v>
      </c>
      <c r="B14" s="161"/>
      <c r="C14" s="143" t="s">
        <v>69</v>
      </c>
      <c r="D14" s="140"/>
      <c r="E14" s="162" t="s">
        <v>70</v>
      </c>
      <c r="F14" s="163"/>
      <c r="G14" s="173" t="s">
        <v>71</v>
      </c>
      <c r="H14" s="174"/>
      <c r="I14" s="143" t="s">
        <v>54</v>
      </c>
      <c r="J14" s="140"/>
      <c r="K14" s="143"/>
      <c r="L14" s="140"/>
      <c r="M14" s="143" t="s">
        <v>72</v>
      </c>
      <c r="N14" s="140"/>
    </row>
    <row r="15" spans="1:14" ht="20" customHeight="1">
      <c r="A15" s="164"/>
      <c r="B15" s="164"/>
      <c r="C15" s="135" t="s">
        <v>73</v>
      </c>
      <c r="D15" s="136"/>
      <c r="E15" s="165" t="s">
        <v>60</v>
      </c>
      <c r="F15" s="166"/>
      <c r="G15" s="171" t="s">
        <v>74</v>
      </c>
      <c r="H15" s="172"/>
      <c r="I15" s="135" t="s">
        <v>75</v>
      </c>
      <c r="J15" s="136"/>
      <c r="K15" s="135"/>
      <c r="L15" s="136"/>
      <c r="M15" s="135" t="s">
        <v>76</v>
      </c>
      <c r="N15" s="136"/>
    </row>
    <row r="16" spans="1:14" ht="20" customHeight="1">
      <c r="A16" s="168" t="s">
        <v>63</v>
      </c>
      <c r="B16" s="168"/>
      <c r="C16" s="135" t="s">
        <v>77</v>
      </c>
      <c r="D16" s="136"/>
      <c r="E16" s="165" t="s">
        <v>67</v>
      </c>
      <c r="F16" s="166"/>
      <c r="G16" s="171" t="s">
        <v>78</v>
      </c>
      <c r="H16" s="172"/>
      <c r="I16" s="137" t="s">
        <v>79</v>
      </c>
      <c r="J16" s="138"/>
      <c r="K16" s="137"/>
      <c r="L16" s="138"/>
      <c r="M16" s="135" t="s">
        <v>80</v>
      </c>
      <c r="N16" s="136"/>
    </row>
    <row r="17" spans="1:14" ht="20" customHeight="1">
      <c r="A17" s="161" t="s">
        <v>81</v>
      </c>
      <c r="B17" s="161"/>
      <c r="C17" s="177"/>
      <c r="D17" s="178"/>
      <c r="E17" s="162" t="s">
        <v>82</v>
      </c>
      <c r="F17" s="163"/>
      <c r="G17" s="143" t="s">
        <v>83</v>
      </c>
      <c r="H17" s="140"/>
      <c r="I17" s="143" t="s">
        <v>84</v>
      </c>
      <c r="J17" s="140"/>
      <c r="K17" s="143"/>
      <c r="L17" s="140"/>
      <c r="M17" s="143" t="s">
        <v>85</v>
      </c>
      <c r="N17" s="140"/>
    </row>
    <row r="18" spans="1:14" ht="20" customHeight="1">
      <c r="A18" s="164"/>
      <c r="B18" s="164"/>
      <c r="C18" s="175"/>
      <c r="D18" s="176"/>
      <c r="E18" s="165" t="s">
        <v>86</v>
      </c>
      <c r="F18" s="166"/>
      <c r="G18" s="135" t="s">
        <v>87</v>
      </c>
      <c r="H18" s="136"/>
      <c r="I18" s="135" t="s">
        <v>88</v>
      </c>
      <c r="J18" s="136"/>
      <c r="K18" s="135"/>
      <c r="L18" s="136"/>
      <c r="M18" s="135" t="s">
        <v>89</v>
      </c>
      <c r="N18" s="136"/>
    </row>
    <row r="19" spans="1:14" ht="20" customHeight="1">
      <c r="A19" s="168" t="s">
        <v>63</v>
      </c>
      <c r="B19" s="168"/>
      <c r="C19" s="175"/>
      <c r="D19" s="176"/>
      <c r="E19" s="165" t="s">
        <v>90</v>
      </c>
      <c r="F19" s="166"/>
      <c r="G19" s="135" t="s">
        <v>91</v>
      </c>
      <c r="H19" s="136"/>
      <c r="I19" s="137" t="s">
        <v>92</v>
      </c>
      <c r="J19" s="138"/>
      <c r="K19" s="137"/>
      <c r="L19" s="138"/>
      <c r="M19" s="137" t="s">
        <v>93</v>
      </c>
      <c r="N19" s="138"/>
    </row>
    <row r="20" spans="1:14" ht="20" customHeight="1">
      <c r="A20" s="164" t="s">
        <v>94</v>
      </c>
      <c r="B20" s="164"/>
      <c r="C20" s="143" t="s">
        <v>95</v>
      </c>
      <c r="D20" s="140"/>
      <c r="E20" s="162" t="s">
        <v>96</v>
      </c>
      <c r="F20" s="163"/>
      <c r="G20" s="143" t="s">
        <v>97</v>
      </c>
      <c r="H20" s="140"/>
      <c r="I20" s="143" t="s">
        <v>98</v>
      </c>
      <c r="J20" s="140"/>
      <c r="K20" s="143" t="s">
        <v>99</v>
      </c>
      <c r="L20" s="140"/>
      <c r="M20" s="143" t="s">
        <v>100</v>
      </c>
      <c r="N20" s="140"/>
    </row>
    <row r="21" spans="1:14" ht="20" customHeight="1">
      <c r="A21" s="164"/>
      <c r="B21" s="164"/>
      <c r="C21" s="135" t="s">
        <v>73</v>
      </c>
      <c r="D21" s="136"/>
      <c r="E21" s="165" t="s">
        <v>86</v>
      </c>
      <c r="F21" s="166"/>
      <c r="G21" s="135" t="s">
        <v>101</v>
      </c>
      <c r="H21" s="136"/>
      <c r="I21" s="135" t="s">
        <v>102</v>
      </c>
      <c r="J21" s="136"/>
      <c r="K21" s="135" t="s">
        <v>86</v>
      </c>
      <c r="L21" s="136"/>
      <c r="M21" s="135" t="s">
        <v>103</v>
      </c>
      <c r="N21" s="136"/>
    </row>
    <row r="22" spans="1:14" ht="20" customHeight="1">
      <c r="A22" s="168" t="s">
        <v>104</v>
      </c>
      <c r="B22" s="168"/>
      <c r="C22" s="135" t="s">
        <v>105</v>
      </c>
      <c r="D22" s="136"/>
      <c r="E22" s="165" t="s">
        <v>106</v>
      </c>
      <c r="F22" s="166"/>
      <c r="G22" s="135" t="s">
        <v>107</v>
      </c>
      <c r="H22" s="136"/>
      <c r="I22" s="137" t="s">
        <v>108</v>
      </c>
      <c r="J22" s="138"/>
      <c r="K22" s="137" t="s">
        <v>109</v>
      </c>
      <c r="L22" s="138"/>
      <c r="M22" s="137" t="s">
        <v>108</v>
      </c>
      <c r="N22" s="138"/>
    </row>
    <row r="23" spans="1:14" ht="20" customHeight="1">
      <c r="A23" s="161" t="s">
        <v>110</v>
      </c>
      <c r="B23" s="161"/>
      <c r="C23" s="177"/>
      <c r="D23" s="178"/>
      <c r="E23" s="162"/>
      <c r="F23" s="163"/>
      <c r="G23" s="143" t="s">
        <v>111</v>
      </c>
      <c r="H23" s="140"/>
      <c r="I23" s="143" t="s">
        <v>112</v>
      </c>
      <c r="J23" s="140"/>
      <c r="K23" s="143" t="s">
        <v>113</v>
      </c>
      <c r="L23" s="140"/>
      <c r="M23" s="135" t="s">
        <v>114</v>
      </c>
      <c r="N23" s="136"/>
    </row>
    <row r="24" spans="1:14" ht="20" customHeight="1">
      <c r="A24" s="164"/>
      <c r="B24" s="164"/>
      <c r="C24" s="175"/>
      <c r="D24" s="176"/>
      <c r="E24" s="165"/>
      <c r="F24" s="166"/>
      <c r="G24" s="135" t="s">
        <v>59</v>
      </c>
      <c r="H24" s="136"/>
      <c r="I24" s="135" t="s">
        <v>115</v>
      </c>
      <c r="J24" s="136"/>
      <c r="K24" s="135" t="s">
        <v>116</v>
      </c>
      <c r="L24" s="136"/>
      <c r="M24" s="135" t="s">
        <v>117</v>
      </c>
      <c r="N24" s="136"/>
    </row>
    <row r="25" spans="1:14" ht="20" customHeight="1">
      <c r="A25" s="168" t="s">
        <v>104</v>
      </c>
      <c r="B25" s="168"/>
      <c r="C25" s="175"/>
      <c r="D25" s="176"/>
      <c r="E25" s="165"/>
      <c r="F25" s="166"/>
      <c r="G25" s="135" t="s">
        <v>118</v>
      </c>
      <c r="H25" s="136"/>
      <c r="I25" s="137" t="s">
        <v>119</v>
      </c>
      <c r="J25" s="138"/>
      <c r="K25" s="137" t="s">
        <v>120</v>
      </c>
      <c r="L25" s="138"/>
      <c r="M25" s="137" t="s">
        <v>121</v>
      </c>
      <c r="N25" s="138"/>
    </row>
    <row r="26" spans="1:14" ht="20" customHeight="1">
      <c r="A26" s="164" t="s">
        <v>122</v>
      </c>
      <c r="B26" s="164"/>
      <c r="C26" s="177"/>
      <c r="D26" s="178"/>
      <c r="E26" s="162"/>
      <c r="F26" s="163"/>
      <c r="G26" s="162"/>
      <c r="H26" s="163"/>
      <c r="I26" s="143" t="s">
        <v>123</v>
      </c>
      <c r="J26" s="139"/>
      <c r="K26" s="139"/>
      <c r="L26" s="140"/>
      <c r="M26" s="135" t="s">
        <v>124</v>
      </c>
      <c r="N26" s="136"/>
    </row>
    <row r="27" spans="1:14" ht="20" customHeight="1">
      <c r="A27" s="164" t="s">
        <v>125</v>
      </c>
      <c r="B27" s="164"/>
      <c r="C27" s="175"/>
      <c r="D27" s="176"/>
      <c r="E27" s="165"/>
      <c r="F27" s="166"/>
      <c r="G27" s="165"/>
      <c r="H27" s="166"/>
      <c r="I27" s="135" t="s">
        <v>126</v>
      </c>
      <c r="J27" s="141"/>
      <c r="K27" s="141"/>
      <c r="L27" s="136"/>
      <c r="M27" s="135" t="s">
        <v>127</v>
      </c>
      <c r="N27" s="136"/>
    </row>
    <row r="28" spans="1:14" ht="20" customHeight="1">
      <c r="A28" s="168" t="s">
        <v>104</v>
      </c>
      <c r="B28" s="168"/>
      <c r="C28" s="175"/>
      <c r="D28" s="176"/>
      <c r="E28" s="165"/>
      <c r="F28" s="166"/>
      <c r="G28" s="165"/>
      <c r="H28" s="166"/>
      <c r="I28" s="137" t="s">
        <v>128</v>
      </c>
      <c r="J28" s="142"/>
      <c r="K28" s="142"/>
      <c r="L28" s="138"/>
      <c r="M28" s="137" t="s">
        <v>121</v>
      </c>
      <c r="N28" s="138"/>
    </row>
    <row r="29" spans="1:14" ht="20" customHeight="1">
      <c r="A29" s="161" t="s">
        <v>129</v>
      </c>
      <c r="B29" s="161"/>
      <c r="C29" s="143" t="s">
        <v>130</v>
      </c>
      <c r="D29" s="140"/>
      <c r="E29" s="162" t="s">
        <v>131</v>
      </c>
      <c r="F29" s="163"/>
      <c r="G29" s="143" t="s">
        <v>132</v>
      </c>
      <c r="H29" s="140"/>
      <c r="I29" s="143" t="s">
        <v>133</v>
      </c>
      <c r="J29" s="140"/>
      <c r="K29" s="143" t="s">
        <v>134</v>
      </c>
      <c r="L29" s="140"/>
      <c r="M29" s="135" t="s">
        <v>135</v>
      </c>
      <c r="N29" s="136"/>
    </row>
    <row r="30" spans="1:14" ht="20" customHeight="1">
      <c r="A30" s="164" t="s">
        <v>136</v>
      </c>
      <c r="B30" s="164"/>
      <c r="C30" s="135" t="s">
        <v>137</v>
      </c>
      <c r="D30" s="136"/>
      <c r="E30" s="165" t="s">
        <v>127</v>
      </c>
      <c r="F30" s="166"/>
      <c r="G30" s="135" t="s">
        <v>138</v>
      </c>
      <c r="H30" s="136"/>
      <c r="I30" s="135" t="s">
        <v>139</v>
      </c>
      <c r="J30" s="136"/>
      <c r="K30" s="135" t="s">
        <v>73</v>
      </c>
      <c r="L30" s="136"/>
      <c r="M30" s="135" t="s">
        <v>140</v>
      </c>
      <c r="N30" s="136"/>
    </row>
    <row r="31" spans="1:14" ht="20" customHeight="1">
      <c r="A31" s="168"/>
      <c r="B31" s="168"/>
      <c r="C31" s="137" t="s">
        <v>141</v>
      </c>
      <c r="D31" s="138"/>
      <c r="E31" s="179" t="s">
        <v>142</v>
      </c>
      <c r="F31" s="180"/>
      <c r="G31" s="137" t="s">
        <v>143</v>
      </c>
      <c r="H31" s="138"/>
      <c r="I31" s="137" t="s">
        <v>144</v>
      </c>
      <c r="J31" s="138"/>
      <c r="K31" s="137" t="s">
        <v>145</v>
      </c>
      <c r="L31" s="138"/>
      <c r="M31" s="137" t="s">
        <v>146</v>
      </c>
      <c r="N31" s="138"/>
    </row>
    <row r="32" spans="1:14" ht="20" customHeight="1">
      <c r="A32" s="181"/>
      <c r="B32" s="181"/>
      <c r="C32" s="46"/>
    </row>
    <row r="33" spans="1:14" s="2" customFormat="1" ht="20" customHeight="1">
      <c r="A33" s="2" t="s">
        <v>153</v>
      </c>
    </row>
    <row r="34" spans="1:14" s="2" customFormat="1" ht="20" customHeight="1">
      <c r="A34" s="159" t="s">
        <v>154</v>
      </c>
      <c r="B34" s="159"/>
      <c r="C34" s="57">
        <v>3</v>
      </c>
      <c r="D34" s="57">
        <v>4</v>
      </c>
      <c r="E34" s="57">
        <v>5</v>
      </c>
      <c r="F34" s="57">
        <v>6</v>
      </c>
      <c r="G34" s="57">
        <v>7</v>
      </c>
      <c r="H34" s="57">
        <v>8</v>
      </c>
      <c r="I34" s="57">
        <v>9</v>
      </c>
      <c r="J34" s="57">
        <v>10</v>
      </c>
      <c r="K34" s="57">
        <v>11</v>
      </c>
      <c r="L34" s="57">
        <v>12</v>
      </c>
      <c r="M34" s="57">
        <v>13</v>
      </c>
      <c r="N34" s="57">
        <v>14</v>
      </c>
    </row>
    <row r="35" spans="1:14" s="2" customFormat="1" ht="20" customHeight="1">
      <c r="A35" s="160" t="s">
        <v>155</v>
      </c>
      <c r="B35" s="58">
        <v>0.05</v>
      </c>
      <c r="C35" s="58">
        <v>1.1499999999999999</v>
      </c>
      <c r="D35" s="58">
        <v>1.46</v>
      </c>
      <c r="E35" s="58">
        <v>1.67</v>
      </c>
      <c r="F35" s="58">
        <v>1.82</v>
      </c>
      <c r="G35" s="58">
        <v>1.94</v>
      </c>
      <c r="H35" s="58">
        <v>2.0299999999999998</v>
      </c>
      <c r="I35" s="58">
        <v>2.11</v>
      </c>
      <c r="J35" s="58">
        <v>2.1800000000000002</v>
      </c>
      <c r="K35" s="58">
        <v>2.23</v>
      </c>
      <c r="L35" s="58">
        <v>2.29</v>
      </c>
      <c r="M35" s="58">
        <v>2.33</v>
      </c>
      <c r="N35" s="58">
        <v>2.37</v>
      </c>
    </row>
    <row r="36" spans="1:14" s="2" customFormat="1" ht="20" customHeight="1">
      <c r="A36" s="159"/>
      <c r="B36" s="58">
        <v>0.01</v>
      </c>
      <c r="C36" s="58">
        <v>1.1599999999999999</v>
      </c>
      <c r="D36" s="58">
        <v>1.49</v>
      </c>
      <c r="E36" s="58">
        <v>1.75</v>
      </c>
      <c r="F36" s="58">
        <v>1.94</v>
      </c>
      <c r="G36" s="58">
        <v>2.1</v>
      </c>
      <c r="H36" s="58">
        <v>2.2200000000000002</v>
      </c>
      <c r="I36" s="58">
        <v>2.3199999999999998</v>
      </c>
      <c r="J36" s="58">
        <v>2.41</v>
      </c>
      <c r="K36" s="58">
        <v>2.4300000000000002</v>
      </c>
      <c r="L36" s="58">
        <v>2.5499999999999998</v>
      </c>
      <c r="M36" s="58">
        <v>2.61</v>
      </c>
      <c r="N36" s="58">
        <v>2.66</v>
      </c>
    </row>
  </sheetData>
  <mergeCells count="172">
    <mergeCell ref="A31:B31"/>
    <mergeCell ref="C31:D31"/>
    <mergeCell ref="E31:F31"/>
    <mergeCell ref="G31:H31"/>
    <mergeCell ref="A32:B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3:B23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17:B17"/>
    <mergeCell ref="C17:D17"/>
    <mergeCell ref="E17:F17"/>
    <mergeCell ref="G17:H17"/>
    <mergeCell ref="A18:B18"/>
    <mergeCell ref="C18:D18"/>
    <mergeCell ref="E18:F18"/>
    <mergeCell ref="G18:H18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7:M7"/>
    <mergeCell ref="A9:B9"/>
    <mergeCell ref="C9:D9"/>
    <mergeCell ref="E9:F9"/>
    <mergeCell ref="G9:H9"/>
    <mergeCell ref="A10:B10"/>
    <mergeCell ref="C10:D10"/>
    <mergeCell ref="E10:F10"/>
    <mergeCell ref="G10:H10"/>
    <mergeCell ref="M9:N9"/>
    <mergeCell ref="M10:N10"/>
    <mergeCell ref="M11:N11"/>
    <mergeCell ref="M12:N12"/>
    <mergeCell ref="A4:B4"/>
    <mergeCell ref="G4:H4"/>
    <mergeCell ref="I4:K4"/>
    <mergeCell ref="A5:B5"/>
    <mergeCell ref="C5:D5"/>
    <mergeCell ref="G5:H5"/>
    <mergeCell ref="I5:K5"/>
    <mergeCell ref="A34:B34"/>
    <mergeCell ref="A35:A36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M13:N13"/>
    <mergeCell ref="M14:N14"/>
    <mergeCell ref="M15:N15"/>
    <mergeCell ref="M16:N16"/>
    <mergeCell ref="M17:N17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24:N24"/>
    <mergeCell ref="M25:N25"/>
    <mergeCell ref="M30:N30"/>
    <mergeCell ref="M31:N31"/>
    <mergeCell ref="K25:L25"/>
    <mergeCell ref="K26:L26"/>
    <mergeCell ref="K27:L27"/>
    <mergeCell ref="K28:L28"/>
    <mergeCell ref="K29:L29"/>
    <mergeCell ref="K30:L30"/>
    <mergeCell ref="K31:L31"/>
  </mergeCells>
  <phoneticPr fontId="2"/>
  <conditionalFormatting sqref="E11:F13">
    <cfRule type="expression" dxfId="9" priority="1" stopIfTrue="1">
      <formula>$I$4=0.2776</formula>
    </cfRule>
  </conditionalFormatting>
  <conditionalFormatting sqref="E14:F22">
    <cfRule type="expression" dxfId="8" priority="2" stopIfTrue="1">
      <formula>$I$4=0.2698</formula>
    </cfRule>
  </conditionalFormatting>
  <conditionalFormatting sqref="I14:I16">
    <cfRule type="expression" dxfId="7" priority="3" stopIfTrue="1">
      <formula>$I$4=0.1183</formula>
    </cfRule>
  </conditionalFormatting>
  <conditionalFormatting sqref="I17:I19">
    <cfRule type="expression" dxfId="6" priority="4" stopIfTrue="1">
      <formula>$I$4=0.14</formula>
    </cfRule>
  </conditionalFormatting>
  <conditionalFormatting sqref="I20:I22">
    <cfRule type="expression" dxfId="5" priority="5" stopIfTrue="1">
      <formula>$I$4=0.1857</formula>
    </cfRule>
  </conditionalFormatting>
  <conditionalFormatting sqref="I23:I25">
    <cfRule type="expression" dxfId="4" priority="6" stopIfTrue="1">
      <formula>$I$4=0.1609</formula>
    </cfRule>
  </conditionalFormatting>
  <conditionalFormatting sqref="K20:K25">
    <cfRule type="expression" dxfId="3" priority="7" stopIfTrue="1">
      <formula>$I$4=0.1919</formula>
    </cfRule>
  </conditionalFormatting>
  <conditionalFormatting sqref="I26:I28">
    <cfRule type="expression" dxfId="2" priority="8" stopIfTrue="1">
      <formula>$I$4=0.1482</formula>
    </cfRule>
  </conditionalFormatting>
  <conditionalFormatting sqref="I4:J4">
    <cfRule type="expression" dxfId="1" priority="9" stopIfTrue="1">
      <formula>$E$5=""</formula>
    </cfRule>
  </conditionalFormatting>
  <conditionalFormatting sqref="E4">
    <cfRule type="cellIs" dxfId="0" priority="10" stopIfTrue="1" operator="equal">
      <formula>"未入力です（→Input）"</formula>
    </cfRule>
  </conditionalFormatting>
  <dataValidations count="1">
    <dataValidation allowBlank="1" showInputMessage="1" showErrorMessage="1" promptTitle="***竣工年入力***" prompt="竣工年を西暦で入力してください" sqref="E5" xr:uid="{00000000-0002-0000-0100-000000000000}"/>
  </dataValidations>
  <pageMargins left="0.78740157480314965" right="0.59055118110236227" top="0.78740157480314965" bottom="0.78740157480314965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様式6-1</vt:lpstr>
      <vt:lpstr>入力参考例</vt:lpstr>
      <vt:lpstr>δ</vt:lpstr>
      <vt:lpstr>'様式6-1'!Print_Area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山崎栄市</dc:creator>
  <cp:lastModifiedBy>山崎栄市</cp:lastModifiedBy>
  <cp:lastPrinted>2018-04-12T02:21:16Z</cp:lastPrinted>
  <dcterms:created xsi:type="dcterms:W3CDTF">2018-03-13T01:28:48Z</dcterms:created>
  <dcterms:modified xsi:type="dcterms:W3CDTF">2019-01-24T05:51:52Z</dcterms:modified>
</cp:coreProperties>
</file>